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8" yWindow="288" windowWidth="15456" windowHeight="7968" tabRatio="815"/>
  </bookViews>
  <sheets>
    <sheet name="Info" sheetId="11" r:id="rId1"/>
    <sheet name="Economical Data" sheetId="1" r:id="rId2"/>
    <sheet name="Energy costs" sheetId="2" r:id="rId3"/>
    <sheet name="Calculation" sheetId="3" r:id="rId4"/>
    <sheet name="Results" sheetId="4" r:id="rId5"/>
    <sheet name="Compare Option " sheetId="5" r:id="rId6"/>
    <sheet name="Payback" sheetId="10" r:id="rId7"/>
    <sheet name="History" sheetId="6" r:id="rId8"/>
    <sheet name="Ref. Service Life CEN CWA 27" sheetId="7" r:id="rId9"/>
    <sheet name="Reference Service Life VDI 2067" sheetId="8" r:id="rId10"/>
    <sheet name="Feuil1" sheetId="9" r:id="rId11"/>
  </sheets>
  <definedNames>
    <definedName name="Building_surface">Calculation!$B$1</definedName>
    <definedName name="Calculation_Period">'Economical Data'!$C$8</definedName>
    <definedName name="demolition_1">'Economical Data'!$C$20</definedName>
    <definedName name="demolition_2">'Economical Data'!$C$22</definedName>
    <definedName name="Discount_rate">'Economical Data'!$C$10</definedName>
    <definedName name="Inflation_energy">'Economical Data'!$C$16</definedName>
    <definedName name="Inflation_human">'Economical Data'!$C$14</definedName>
    <definedName name="Inflation_products">'Economical Data'!$C$12</definedName>
    <definedName name="Inflation_rate">'Economical Data'!$C$10</definedName>
    <definedName name="Inflation_water">'Economical Data'!$C$18</definedName>
    <definedName name="Maintenance_products">'Economical Data'!$C$24</definedName>
    <definedName name="Maintenance_rate_for_products">'Economical Data'!$C$24</definedName>
    <definedName name="Period">'Economical Data'!$C$8</definedName>
    <definedName name="Z_076EF5BB_A6AA_4ACD_9CF4_82C37E85D83C_.wvu.Rows" localSheetId="2" hidden="1">'Energy costs'!$8:$8</definedName>
    <definedName name="Z_519414D7_B194_4B83_AA2D_520F5FD85EC7_.wvu.Rows" localSheetId="2" hidden="1">'Energy costs'!$8:$8</definedName>
    <definedName name="Z_6774CEDA_A5AA_4ECD_96FF_5AD648D47675_.wvu.Rows" localSheetId="2" hidden="1">'Energy costs'!$8:$8</definedName>
    <definedName name="Z_A466747D_BC11_4359_8DB2_79FDF5927363_.wvu.Rows" localSheetId="2" hidden="1">'Energy costs'!$8:$8</definedName>
  </definedNames>
  <calcPr calcId="145621"/>
  <customWorkbookViews>
    <customWorkbookView name="ZIRNGIBL - Affichage personnalisé" guid="{A466747D-BC11-4359-8DB2-79FDF5927363}" mergeInterval="0" personalView="1" maximized="1" windowWidth="1362" windowHeight="487" tabRatio="815" activeSheetId="11"/>
    <customWorkbookView name="ZIEGLER - Affichage personnalisé" guid="{076EF5BB-A6AA-4ACD-9CF4-82C37E85D83C}" mergeInterval="0" personalView="1" maximized="1" xWindow="1" yWindow="1" windowWidth="1436" windowHeight="549" tabRatio="815" activeSheetId="10"/>
    <customWorkbookView name="Jana Bendžalová - osobné zobrazenie" guid="{6774CEDA-A5AA-4ECD-96FF-5AD648D47675}" mergeInterval="0" personalView="1" maximized="1" windowWidth="1362" windowHeight="527" tabRatio="815" activeSheetId="5"/>
    <customWorkbookView name="g38318 - Affichage personnalisé" guid="{519414D7-B194-4B83-AA2D-520F5FD85EC7}" mergeInterval="0" personalView="1" maximized="1" xWindow="1" yWindow="1" windowWidth="1276" windowHeight="570" tabRatio="815" activeSheetId="6"/>
  </customWorkbookViews>
</workbook>
</file>

<file path=xl/calcChain.xml><?xml version="1.0" encoding="utf-8"?>
<calcChain xmlns="http://schemas.openxmlformats.org/spreadsheetml/2006/main">
  <c r="F31" i="10" l="1"/>
  <c r="C31" i="10"/>
  <c r="I31" i="10" s="1"/>
  <c r="K3" i="10"/>
  <c r="B111" i="10" s="1"/>
  <c r="F114" i="10"/>
  <c r="C114" i="10"/>
  <c r="B114" i="10"/>
  <c r="F113" i="10"/>
  <c r="C113" i="10"/>
  <c r="B113" i="10"/>
  <c r="F112" i="10"/>
  <c r="C112" i="10"/>
  <c r="F111" i="10"/>
  <c r="C111" i="10"/>
  <c r="F110" i="10"/>
  <c r="C110" i="10"/>
  <c r="B110" i="10"/>
  <c r="F109" i="10"/>
  <c r="C109" i="10"/>
  <c r="B109" i="10"/>
  <c r="F108" i="10"/>
  <c r="C108" i="10"/>
  <c r="F107" i="10"/>
  <c r="C107" i="10"/>
  <c r="F106" i="10"/>
  <c r="C106" i="10"/>
  <c r="B106" i="10"/>
  <c r="F105" i="10"/>
  <c r="C105" i="10"/>
  <c r="B105" i="10"/>
  <c r="F104" i="10"/>
  <c r="C104" i="10"/>
  <c r="F103" i="10"/>
  <c r="C103" i="10"/>
  <c r="F102" i="10"/>
  <c r="C102" i="10"/>
  <c r="B102" i="10"/>
  <c r="F101" i="10"/>
  <c r="C101" i="10"/>
  <c r="B101" i="10"/>
  <c r="F100" i="10"/>
  <c r="C100" i="10"/>
  <c r="F99" i="10"/>
  <c r="C99" i="10"/>
  <c r="F98" i="10"/>
  <c r="C98" i="10"/>
  <c r="B98" i="10"/>
  <c r="F97" i="10"/>
  <c r="C97" i="10"/>
  <c r="B97" i="10"/>
  <c r="F96" i="10"/>
  <c r="C96" i="10"/>
  <c r="F95" i="10"/>
  <c r="C95" i="10"/>
  <c r="F94" i="10"/>
  <c r="C94" i="10"/>
  <c r="B94" i="10"/>
  <c r="F93" i="10"/>
  <c r="C93" i="10"/>
  <c r="B93" i="10"/>
  <c r="F92" i="10"/>
  <c r="C92" i="10"/>
  <c r="F91" i="10"/>
  <c r="C91" i="10"/>
  <c r="F90" i="10"/>
  <c r="C90" i="10"/>
  <c r="B90" i="10"/>
  <c r="F89" i="10"/>
  <c r="C89" i="10"/>
  <c r="B89" i="10"/>
  <c r="F88" i="10"/>
  <c r="C88" i="10"/>
  <c r="F87" i="10"/>
  <c r="C87" i="10"/>
  <c r="F86" i="10"/>
  <c r="C86" i="10"/>
  <c r="B86" i="10"/>
  <c r="F85" i="10"/>
  <c r="C85" i="10"/>
  <c r="B85" i="10"/>
  <c r="F84" i="10"/>
  <c r="C84" i="10"/>
  <c r="F83" i="10"/>
  <c r="C83" i="10"/>
  <c r="F82" i="10"/>
  <c r="C82" i="10"/>
  <c r="B82" i="10"/>
  <c r="F81" i="10"/>
  <c r="C81" i="10"/>
  <c r="B81" i="10"/>
  <c r="F80" i="10"/>
  <c r="C80" i="10"/>
  <c r="F79" i="10"/>
  <c r="C79" i="10"/>
  <c r="F78" i="10"/>
  <c r="C78" i="10"/>
  <c r="B78" i="10"/>
  <c r="F77" i="10"/>
  <c r="C77" i="10"/>
  <c r="B77" i="10"/>
  <c r="F76" i="10"/>
  <c r="C76" i="10"/>
  <c r="F75" i="10"/>
  <c r="C75" i="10"/>
  <c r="F74" i="10"/>
  <c r="C74" i="10"/>
  <c r="B74" i="10"/>
  <c r="F73" i="10"/>
  <c r="C73" i="10"/>
  <c r="B73" i="10"/>
  <c r="F72" i="10"/>
  <c r="C72" i="10"/>
  <c r="F71" i="10"/>
  <c r="C71" i="10"/>
  <c r="F70" i="10"/>
  <c r="C70" i="10"/>
  <c r="B70" i="10"/>
  <c r="F69" i="10"/>
  <c r="C69" i="10"/>
  <c r="B69" i="10"/>
  <c r="F68" i="10"/>
  <c r="C68" i="10"/>
  <c r="F67" i="10"/>
  <c r="C67" i="10"/>
  <c r="F66" i="10"/>
  <c r="C66" i="10"/>
  <c r="B66" i="10"/>
  <c r="F65" i="10"/>
  <c r="C65" i="10"/>
  <c r="B65" i="10"/>
  <c r="F64" i="10"/>
  <c r="C64" i="10"/>
  <c r="F63" i="10"/>
  <c r="C63" i="10"/>
  <c r="F62" i="10"/>
  <c r="C62" i="10"/>
  <c r="B62" i="10"/>
  <c r="F61" i="10"/>
  <c r="C61" i="10"/>
  <c r="B61" i="10"/>
  <c r="F60" i="10"/>
  <c r="C60" i="10"/>
  <c r="F59" i="10"/>
  <c r="C59" i="10"/>
  <c r="F58" i="10"/>
  <c r="C58" i="10"/>
  <c r="B58" i="10"/>
  <c r="F57" i="10"/>
  <c r="C57" i="10"/>
  <c r="B57" i="10"/>
  <c r="F56" i="10"/>
  <c r="C56" i="10"/>
  <c r="F55" i="10"/>
  <c r="C55" i="10"/>
  <c r="F54" i="10"/>
  <c r="C54" i="10"/>
  <c r="B54" i="10"/>
  <c r="F53" i="10"/>
  <c r="C53" i="10"/>
  <c r="B53" i="10"/>
  <c r="F52" i="10"/>
  <c r="C52" i="10"/>
  <c r="F51" i="10"/>
  <c r="C51" i="10"/>
  <c r="F50" i="10"/>
  <c r="C50" i="10"/>
  <c r="B50" i="10"/>
  <c r="F49" i="10"/>
  <c r="C49" i="10"/>
  <c r="B49" i="10"/>
  <c r="F48" i="10"/>
  <c r="C48" i="10"/>
  <c r="F47" i="10"/>
  <c r="C47" i="10"/>
  <c r="F46" i="10"/>
  <c r="C46" i="10"/>
  <c r="B46" i="10"/>
  <c r="F45" i="10"/>
  <c r="C45" i="10"/>
  <c r="B45" i="10"/>
  <c r="F44" i="10"/>
  <c r="C44" i="10"/>
  <c r="F43" i="10"/>
  <c r="C43" i="10"/>
  <c r="F42" i="10"/>
  <c r="C42" i="10"/>
  <c r="B42" i="10"/>
  <c r="F41" i="10"/>
  <c r="C41" i="10"/>
  <c r="B41" i="10"/>
  <c r="F40" i="10"/>
  <c r="C40" i="10"/>
  <c r="F39" i="10"/>
  <c r="C39" i="10"/>
  <c r="F38" i="10"/>
  <c r="C38" i="10"/>
  <c r="B38" i="10"/>
  <c r="F37" i="10"/>
  <c r="C37" i="10"/>
  <c r="B37" i="10"/>
  <c r="F36" i="10"/>
  <c r="C36" i="10"/>
  <c r="F35" i="10"/>
  <c r="C35" i="10"/>
  <c r="F34" i="10"/>
  <c r="C34" i="10"/>
  <c r="B34" i="10"/>
  <c r="F33" i="10"/>
  <c r="C33" i="10"/>
  <c r="B33" i="10"/>
  <c r="F32" i="10"/>
  <c r="C32" i="10"/>
  <c r="F30" i="10"/>
  <c r="C30" i="10"/>
  <c r="F29" i="10"/>
  <c r="C29" i="10"/>
  <c r="B29" i="10"/>
  <c r="H29" i="10" s="1"/>
  <c r="F28" i="10"/>
  <c r="C28" i="10"/>
  <c r="B28" i="10"/>
  <c r="F27" i="10"/>
  <c r="C27" i="10"/>
  <c r="F26" i="10"/>
  <c r="C26" i="10"/>
  <c r="F25" i="10"/>
  <c r="C25" i="10"/>
  <c r="B25" i="10"/>
  <c r="H25" i="10" s="1"/>
  <c r="F24" i="10"/>
  <c r="C24" i="10"/>
  <c r="B24" i="10"/>
  <c r="F23" i="10"/>
  <c r="C23" i="10"/>
  <c r="F22" i="10"/>
  <c r="C22" i="10"/>
  <c r="F21" i="10"/>
  <c r="C21" i="10"/>
  <c r="B21" i="10"/>
  <c r="H21" i="10" s="1"/>
  <c r="F20" i="10"/>
  <c r="C20" i="10"/>
  <c r="B20" i="10"/>
  <c r="F19" i="10"/>
  <c r="C19" i="10"/>
  <c r="F18" i="10"/>
  <c r="C18" i="10"/>
  <c r="F17" i="10"/>
  <c r="C17" i="10"/>
  <c r="B17" i="10"/>
  <c r="H17" i="10" s="1"/>
  <c r="F16" i="10"/>
  <c r="C16" i="10"/>
  <c r="B16" i="10"/>
  <c r="F15" i="10"/>
  <c r="C15" i="10"/>
  <c r="F14" i="10"/>
  <c r="C14" i="10"/>
  <c r="C79" i="5"/>
  <c r="B15" i="10" l="1"/>
  <c r="H15" i="10" s="1"/>
  <c r="B19" i="10"/>
  <c r="H19" i="10" s="1"/>
  <c r="B23" i="10"/>
  <c r="H23" i="10" s="1"/>
  <c r="B27" i="10"/>
  <c r="H27" i="10" s="1"/>
  <c r="B32" i="10"/>
  <c r="B36" i="10"/>
  <c r="B40" i="10"/>
  <c r="B44" i="10"/>
  <c r="E44" i="10" s="1"/>
  <c r="B48" i="10"/>
  <c r="B52" i="10"/>
  <c r="B56" i="10"/>
  <c r="B60" i="10"/>
  <c r="E60" i="10" s="1"/>
  <c r="B64" i="10"/>
  <c r="B68" i="10"/>
  <c r="B72" i="10"/>
  <c r="B76" i="10"/>
  <c r="E76" i="10" s="1"/>
  <c r="B80" i="10"/>
  <c r="B84" i="10"/>
  <c r="B88" i="10"/>
  <c r="B92" i="10"/>
  <c r="E92" i="10" s="1"/>
  <c r="B96" i="10"/>
  <c r="B100" i="10"/>
  <c r="B104" i="10"/>
  <c r="B108" i="10"/>
  <c r="E108" i="10" s="1"/>
  <c r="B112" i="10"/>
  <c r="B31" i="10"/>
  <c r="B14" i="10"/>
  <c r="B18" i="10"/>
  <c r="E18" i="10" s="1"/>
  <c r="B22" i="10"/>
  <c r="B26" i="10"/>
  <c r="B30" i="10"/>
  <c r="B35" i="10"/>
  <c r="H35" i="10" s="1"/>
  <c r="B39" i="10"/>
  <c r="B43" i="10"/>
  <c r="B47" i="10"/>
  <c r="B51" i="10"/>
  <c r="H51" i="10" s="1"/>
  <c r="B55" i="10"/>
  <c r="B59" i="10"/>
  <c r="B63" i="10"/>
  <c r="B67" i="10"/>
  <c r="E67" i="10" s="1"/>
  <c r="B71" i="10"/>
  <c r="B75" i="10"/>
  <c r="B79" i="10"/>
  <c r="B83" i="10"/>
  <c r="E83" i="10" s="1"/>
  <c r="B87" i="10"/>
  <c r="B91" i="10"/>
  <c r="B95" i="10"/>
  <c r="B99" i="10"/>
  <c r="H99" i="10" s="1"/>
  <c r="B103" i="10"/>
  <c r="B107" i="10"/>
  <c r="E31" i="10"/>
  <c r="H31" i="10"/>
  <c r="J31" i="10"/>
  <c r="E113" i="10"/>
  <c r="I16" i="10"/>
  <c r="J16" i="10" s="1"/>
  <c r="I18" i="10"/>
  <c r="J18" i="10" s="1"/>
  <c r="I20" i="10"/>
  <c r="J20" i="10" s="1"/>
  <c r="I22" i="10"/>
  <c r="J22" i="10" s="1"/>
  <c r="I24" i="10"/>
  <c r="J24" i="10" s="1"/>
  <c r="I28" i="10"/>
  <c r="J28" i="10" s="1"/>
  <c r="I32" i="10"/>
  <c r="J32" i="10" s="1"/>
  <c r="I34" i="10"/>
  <c r="J34" i="10" s="1"/>
  <c r="I36" i="10"/>
  <c r="J36" i="10" s="1"/>
  <c r="I38" i="10"/>
  <c r="J38" i="10" s="1"/>
  <c r="I40" i="10"/>
  <c r="J40" i="10" s="1"/>
  <c r="I42" i="10"/>
  <c r="J42" i="10" s="1"/>
  <c r="I44" i="10"/>
  <c r="I46" i="10"/>
  <c r="J46" i="10" s="1"/>
  <c r="I48" i="10"/>
  <c r="J48" i="10" s="1"/>
  <c r="I50" i="10"/>
  <c r="J50" i="10" s="1"/>
  <c r="I52" i="10"/>
  <c r="J52" i="10" s="1"/>
  <c r="I54" i="10"/>
  <c r="I56" i="10"/>
  <c r="J56" i="10" s="1"/>
  <c r="I58" i="10"/>
  <c r="J58" i="10" s="1"/>
  <c r="I60" i="10"/>
  <c r="I62" i="10"/>
  <c r="J62" i="10" s="1"/>
  <c r="I64" i="10"/>
  <c r="J64" i="10" s="1"/>
  <c r="I66" i="10"/>
  <c r="J66" i="10" s="1"/>
  <c r="I68" i="10"/>
  <c r="J68" i="10" s="1"/>
  <c r="I70" i="10"/>
  <c r="J70" i="10" s="1"/>
  <c r="I72" i="10"/>
  <c r="J72" i="10" s="1"/>
  <c r="I74" i="10"/>
  <c r="J74" i="10" s="1"/>
  <c r="I76" i="10"/>
  <c r="I78" i="10"/>
  <c r="J78" i="10" s="1"/>
  <c r="I80" i="10"/>
  <c r="J80" i="10" s="1"/>
  <c r="I82" i="10"/>
  <c r="J82" i="10" s="1"/>
  <c r="I84" i="10"/>
  <c r="J84" i="10" s="1"/>
  <c r="I86" i="10"/>
  <c r="J86" i="10" s="1"/>
  <c r="I88" i="10"/>
  <c r="J88" i="10" s="1"/>
  <c r="I90" i="10"/>
  <c r="J90" i="10" s="1"/>
  <c r="I92" i="10"/>
  <c r="I94" i="10"/>
  <c r="J94" i="10" s="1"/>
  <c r="I96" i="10"/>
  <c r="J96" i="10" s="1"/>
  <c r="I98" i="10"/>
  <c r="J98" i="10" s="1"/>
  <c r="I100" i="10"/>
  <c r="J100" i="10" s="1"/>
  <c r="I102" i="10"/>
  <c r="J102" i="10" s="1"/>
  <c r="I104" i="10"/>
  <c r="J104" i="10" s="1"/>
  <c r="I106" i="10"/>
  <c r="J106" i="10" s="1"/>
  <c r="I108" i="10"/>
  <c r="I15" i="10"/>
  <c r="J15" i="10" s="1"/>
  <c r="I17" i="10"/>
  <c r="J17" i="10" s="1"/>
  <c r="I19" i="10"/>
  <c r="J19" i="10" s="1"/>
  <c r="I21" i="10"/>
  <c r="J21" i="10" s="1"/>
  <c r="I23" i="10"/>
  <c r="J23" i="10" s="1"/>
  <c r="I25" i="10"/>
  <c r="J25" i="10" s="1"/>
  <c r="I110" i="10"/>
  <c r="J110" i="10" s="1"/>
  <c r="I27" i="10"/>
  <c r="I114" i="10"/>
  <c r="J114" i="10" s="1"/>
  <c r="I29" i="10"/>
  <c r="J29" i="10" s="1"/>
  <c r="I26" i="10"/>
  <c r="J26" i="10" s="1"/>
  <c r="I14" i="10"/>
  <c r="H14" i="10"/>
  <c r="H16" i="10"/>
  <c r="H20" i="10"/>
  <c r="H22" i="10"/>
  <c r="H24" i="10"/>
  <c r="H26" i="10"/>
  <c r="H28" i="10"/>
  <c r="H32" i="10"/>
  <c r="E33" i="10"/>
  <c r="H34" i="10"/>
  <c r="H36" i="10"/>
  <c r="E37" i="10"/>
  <c r="H38" i="10"/>
  <c r="E39" i="10"/>
  <c r="H40" i="10"/>
  <c r="E41" i="10"/>
  <c r="H42" i="10"/>
  <c r="E43" i="10"/>
  <c r="H44" i="10"/>
  <c r="E45" i="10"/>
  <c r="H46" i="10"/>
  <c r="E47" i="10"/>
  <c r="H48" i="10"/>
  <c r="E49" i="10"/>
  <c r="H50" i="10"/>
  <c r="H52" i="10"/>
  <c r="E53" i="10"/>
  <c r="H54" i="10"/>
  <c r="E55" i="10"/>
  <c r="H56" i="10"/>
  <c r="E57" i="10"/>
  <c r="H58" i="10"/>
  <c r="E59" i="10"/>
  <c r="H60" i="10"/>
  <c r="E61" i="10"/>
  <c r="H62" i="10"/>
  <c r="E63" i="10"/>
  <c r="H64" i="10"/>
  <c r="E65" i="10"/>
  <c r="H66" i="10"/>
  <c r="H68" i="10"/>
  <c r="E69" i="10"/>
  <c r="H70" i="10"/>
  <c r="E71" i="10"/>
  <c r="H72" i="10"/>
  <c r="E73" i="10"/>
  <c r="H74" i="10"/>
  <c r="E75" i="10"/>
  <c r="H76" i="10"/>
  <c r="E77" i="10"/>
  <c r="H78" i="10"/>
  <c r="E79" i="10"/>
  <c r="H80" i="10"/>
  <c r="E81" i="10"/>
  <c r="H82" i="10"/>
  <c r="H84" i="10"/>
  <c r="E85" i="10"/>
  <c r="H86" i="10"/>
  <c r="E87" i="10"/>
  <c r="H88" i="10"/>
  <c r="E89" i="10"/>
  <c r="H90" i="10"/>
  <c r="E91" i="10"/>
  <c r="H92" i="10"/>
  <c r="E93" i="10"/>
  <c r="H94" i="10"/>
  <c r="E95" i="10"/>
  <c r="H96" i="10"/>
  <c r="E97" i="10"/>
  <c r="H98" i="10"/>
  <c r="H100" i="10"/>
  <c r="E101" i="10"/>
  <c r="H102" i="10"/>
  <c r="E103" i="10"/>
  <c r="H104" i="10"/>
  <c r="E105" i="10"/>
  <c r="H106" i="10"/>
  <c r="E107" i="10"/>
  <c r="H108" i="10"/>
  <c r="E109" i="10"/>
  <c r="H110" i="10"/>
  <c r="E111" i="10"/>
  <c r="H112" i="10"/>
  <c r="H114" i="10"/>
  <c r="J14" i="10"/>
  <c r="K14" i="10" s="1"/>
  <c r="L14" i="10" s="1"/>
  <c r="H33" i="10"/>
  <c r="H37" i="10"/>
  <c r="H39" i="10"/>
  <c r="H41" i="10"/>
  <c r="H43" i="10"/>
  <c r="H45" i="10"/>
  <c r="H47" i="10"/>
  <c r="H49" i="10"/>
  <c r="H53" i="10"/>
  <c r="J54" i="10"/>
  <c r="H55" i="10"/>
  <c r="H57" i="10"/>
  <c r="H59" i="10"/>
  <c r="H61" i="10"/>
  <c r="H63" i="10"/>
  <c r="H65" i="10"/>
  <c r="H69" i="10"/>
  <c r="H71" i="10"/>
  <c r="H73" i="10"/>
  <c r="H75" i="10"/>
  <c r="H77" i="10"/>
  <c r="H79" i="10"/>
  <c r="H81" i="10"/>
  <c r="H83" i="10"/>
  <c r="H85" i="10"/>
  <c r="H87" i="10"/>
  <c r="H89" i="10"/>
  <c r="H91" i="10"/>
  <c r="H93" i="10"/>
  <c r="H95" i="10"/>
  <c r="H97" i="10"/>
  <c r="H101" i="10"/>
  <c r="H103" i="10"/>
  <c r="H105" i="10"/>
  <c r="H107" i="10"/>
  <c r="H109" i="10"/>
  <c r="H111" i="10"/>
  <c r="I112" i="10"/>
  <c r="J112" i="10" s="1"/>
  <c r="H113" i="10"/>
  <c r="E14" i="10"/>
  <c r="E16" i="10"/>
  <c r="E20" i="10"/>
  <c r="E22" i="10"/>
  <c r="E24" i="10"/>
  <c r="E26" i="10"/>
  <c r="E28" i="10"/>
  <c r="H30" i="10"/>
  <c r="I30" i="10"/>
  <c r="J30" i="10" s="1"/>
  <c r="E30" i="10"/>
  <c r="E15" i="10"/>
  <c r="E17" i="10"/>
  <c r="E19" i="10"/>
  <c r="E21" i="10"/>
  <c r="E23" i="10"/>
  <c r="E25" i="10"/>
  <c r="E27" i="10"/>
  <c r="E29" i="10"/>
  <c r="E32" i="10"/>
  <c r="I33" i="10"/>
  <c r="J33" i="10" s="1"/>
  <c r="E34" i="10"/>
  <c r="I35" i="10"/>
  <c r="E36" i="10"/>
  <c r="I37" i="10"/>
  <c r="J37" i="10" s="1"/>
  <c r="E38" i="10"/>
  <c r="I39" i="10"/>
  <c r="J39" i="10" s="1"/>
  <c r="E40" i="10"/>
  <c r="I41" i="10"/>
  <c r="J41" i="10" s="1"/>
  <c r="E42" i="10"/>
  <c r="I43" i="10"/>
  <c r="J43" i="10" s="1"/>
  <c r="I45" i="10"/>
  <c r="J45" i="10" s="1"/>
  <c r="E46" i="10"/>
  <c r="I47" i="10"/>
  <c r="J47" i="10" s="1"/>
  <c r="E48" i="10"/>
  <c r="I49" i="10"/>
  <c r="J49" i="10" s="1"/>
  <c r="E50" i="10"/>
  <c r="I51" i="10"/>
  <c r="E52" i="10"/>
  <c r="I53" i="10"/>
  <c r="J53" i="10" s="1"/>
  <c r="E54" i="10"/>
  <c r="I55" i="10"/>
  <c r="J55" i="10" s="1"/>
  <c r="E56" i="10"/>
  <c r="I57" i="10"/>
  <c r="J57" i="10" s="1"/>
  <c r="E58" i="10"/>
  <c r="I59" i="10"/>
  <c r="J59" i="10" s="1"/>
  <c r="I61" i="10"/>
  <c r="J61" i="10" s="1"/>
  <c r="E62" i="10"/>
  <c r="I63" i="10"/>
  <c r="J63" i="10" s="1"/>
  <c r="E64" i="10"/>
  <c r="I65" i="10"/>
  <c r="J65" i="10" s="1"/>
  <c r="E66" i="10"/>
  <c r="I67" i="10"/>
  <c r="E68" i="10"/>
  <c r="I69" i="10"/>
  <c r="J69" i="10" s="1"/>
  <c r="E70" i="10"/>
  <c r="I71" i="10"/>
  <c r="J71" i="10" s="1"/>
  <c r="E72" i="10"/>
  <c r="I73" i="10"/>
  <c r="J73" i="10" s="1"/>
  <c r="E74" i="10"/>
  <c r="I75" i="10"/>
  <c r="J75" i="10" s="1"/>
  <c r="I77" i="10"/>
  <c r="J77" i="10" s="1"/>
  <c r="E78" i="10"/>
  <c r="I79" i="10"/>
  <c r="J79" i="10" s="1"/>
  <c r="E80" i="10"/>
  <c r="I81" i="10"/>
  <c r="J81" i="10" s="1"/>
  <c r="E82" i="10"/>
  <c r="I83" i="10"/>
  <c r="E84" i="10"/>
  <c r="I85" i="10"/>
  <c r="J85" i="10" s="1"/>
  <c r="E86" i="10"/>
  <c r="I87" i="10"/>
  <c r="J87" i="10" s="1"/>
  <c r="E88" i="10"/>
  <c r="I89" i="10"/>
  <c r="J89" i="10" s="1"/>
  <c r="E90" i="10"/>
  <c r="I91" i="10"/>
  <c r="J91" i="10" s="1"/>
  <c r="I93" i="10"/>
  <c r="J93" i="10" s="1"/>
  <c r="E94" i="10"/>
  <c r="I95" i="10"/>
  <c r="J95" i="10" s="1"/>
  <c r="E96" i="10"/>
  <c r="I97" i="10"/>
  <c r="J97" i="10" s="1"/>
  <c r="E98" i="10"/>
  <c r="I99" i="10"/>
  <c r="E100" i="10"/>
  <c r="I101" i="10"/>
  <c r="J101" i="10" s="1"/>
  <c r="E102" i="10"/>
  <c r="I103" i="10"/>
  <c r="J103" i="10" s="1"/>
  <c r="E104" i="10"/>
  <c r="I105" i="10"/>
  <c r="J105" i="10" s="1"/>
  <c r="E106" i="10"/>
  <c r="I107" i="10"/>
  <c r="J107" i="10" s="1"/>
  <c r="I109" i="10"/>
  <c r="J109" i="10" s="1"/>
  <c r="E110" i="10"/>
  <c r="I111" i="10"/>
  <c r="J111" i="10" s="1"/>
  <c r="E112" i="10"/>
  <c r="I113" i="10"/>
  <c r="J113" i="10" s="1"/>
  <c r="E114" i="10"/>
  <c r="A30" i="5"/>
  <c r="C13" i="5"/>
  <c r="B13" i="5"/>
  <c r="H67" i="10" l="1"/>
  <c r="E99" i="10"/>
  <c r="E51" i="10"/>
  <c r="E35" i="10"/>
  <c r="J27" i="10"/>
  <c r="J108" i="10"/>
  <c r="J92" i="10"/>
  <c r="J76" i="10"/>
  <c r="J60" i="10"/>
  <c r="J44" i="10"/>
  <c r="H18" i="10"/>
  <c r="A31" i="5"/>
  <c r="J99" i="10"/>
  <c r="J83" i="10"/>
  <c r="J67" i="10"/>
  <c r="J51" i="10"/>
  <c r="J35" i="10"/>
  <c r="K15" i="10"/>
  <c r="K16" i="10" s="1"/>
  <c r="H2" i="3"/>
  <c r="BH3" i="3"/>
  <c r="BG3" i="3"/>
  <c r="H35" i="2"/>
  <c r="A32" i="5" l="1"/>
  <c r="L15" i="10"/>
  <c r="K17" i="10"/>
  <c r="L16" i="10"/>
  <c r="K33" i="2"/>
  <c r="J33" i="2"/>
  <c r="M32" i="2"/>
  <c r="L32" i="2"/>
  <c r="K32" i="2"/>
  <c r="J32" i="2"/>
  <c r="M31" i="2"/>
  <c r="L31" i="2"/>
  <c r="K31" i="2"/>
  <c r="J31" i="2"/>
  <c r="M30" i="2"/>
  <c r="M37" i="2" s="1"/>
  <c r="F40" i="3" s="1"/>
  <c r="L30" i="2"/>
  <c r="L37" i="2" s="1"/>
  <c r="C40" i="3" s="1"/>
  <c r="K30" i="2"/>
  <c r="K37" i="2" s="1"/>
  <c r="J30" i="2"/>
  <c r="M29" i="2"/>
  <c r="L29" i="2"/>
  <c r="K29" i="2"/>
  <c r="J29" i="2"/>
  <c r="M28" i="2"/>
  <c r="M39" i="2" s="1"/>
  <c r="F41" i="3" s="1"/>
  <c r="L28" i="2"/>
  <c r="L39" i="2" s="1"/>
  <c r="C41" i="3" s="1"/>
  <c r="K28" i="2"/>
  <c r="K39" i="2" s="1"/>
  <c r="J28" i="2"/>
  <c r="M27" i="2"/>
  <c r="L27" i="2"/>
  <c r="K27" i="2"/>
  <c r="J27" i="2"/>
  <c r="M26" i="2"/>
  <c r="L26" i="2"/>
  <c r="K26" i="2"/>
  <c r="J26" i="2"/>
  <c r="M25" i="2"/>
  <c r="L25" i="2"/>
  <c r="K25" i="2"/>
  <c r="J25" i="2"/>
  <c r="M24" i="2"/>
  <c r="L24" i="2"/>
  <c r="K24" i="2"/>
  <c r="J24" i="2"/>
  <c r="M23" i="2"/>
  <c r="L23" i="2"/>
  <c r="K23" i="2"/>
  <c r="J23" i="2"/>
  <c r="M22" i="2"/>
  <c r="L22" i="2"/>
  <c r="K22" i="2"/>
  <c r="J22" i="2"/>
  <c r="M21" i="2"/>
  <c r="L21" i="2"/>
  <c r="K21" i="2"/>
  <c r="J21" i="2"/>
  <c r="M20" i="2"/>
  <c r="L20" i="2"/>
  <c r="K20" i="2"/>
  <c r="J20" i="2"/>
  <c r="M19" i="2"/>
  <c r="L19" i="2"/>
  <c r="K19" i="2"/>
  <c r="J19" i="2"/>
  <c r="M18" i="2"/>
  <c r="L18" i="2"/>
  <c r="K18" i="2"/>
  <c r="J18" i="2"/>
  <c r="M17" i="2"/>
  <c r="L17" i="2"/>
  <c r="K17" i="2"/>
  <c r="J17" i="2"/>
  <c r="M16" i="2"/>
  <c r="L16" i="2"/>
  <c r="K16" i="2"/>
  <c r="J16" i="2"/>
  <c r="M15" i="2"/>
  <c r="L15" i="2"/>
  <c r="K15" i="2"/>
  <c r="J15" i="2"/>
  <c r="M14" i="2"/>
  <c r="L14" i="2"/>
  <c r="K14" i="2"/>
  <c r="J14" i="2"/>
  <c r="M13" i="2"/>
  <c r="L13" i="2"/>
  <c r="K13" i="2"/>
  <c r="J13" i="2"/>
  <c r="M12" i="2"/>
  <c r="M10" i="2"/>
  <c r="M11" i="2"/>
  <c r="L12" i="2"/>
  <c r="K12" i="2"/>
  <c r="J12" i="2"/>
  <c r="L11" i="2"/>
  <c r="K11" i="2"/>
  <c r="J11" i="2"/>
  <c r="L10" i="2"/>
  <c r="K10" i="2"/>
  <c r="J10" i="2"/>
  <c r="C8" i="1"/>
  <c r="D2" i="4" s="1"/>
  <c r="A33" i="5" l="1"/>
  <c r="K18" i="10"/>
  <c r="L17" i="10"/>
  <c r="L38" i="2"/>
  <c r="C39" i="3" s="1"/>
  <c r="M38" i="2"/>
  <c r="F39" i="3" s="1"/>
  <c r="M36" i="2"/>
  <c r="F38" i="3" s="1"/>
  <c r="G38" i="3" s="1"/>
  <c r="L36" i="2"/>
  <c r="C38" i="3" s="1"/>
  <c r="K38" i="2"/>
  <c r="K36" i="2"/>
  <c r="BK2" i="3"/>
  <c r="BL25" i="3"/>
  <c r="BL21" i="3"/>
  <c r="BL17" i="3"/>
  <c r="BL13" i="3"/>
  <c r="BL20" i="3"/>
  <c r="BL26" i="3"/>
  <c r="BL22" i="3"/>
  <c r="BL18" i="3"/>
  <c r="BL14" i="3"/>
  <c r="BL10" i="3"/>
  <c r="BL16" i="3"/>
  <c r="BL27" i="3"/>
  <c r="BL23" i="3"/>
  <c r="BL19" i="3"/>
  <c r="BL15" i="3"/>
  <c r="BL11" i="3"/>
  <c r="BL24" i="3"/>
  <c r="BF24" i="3" s="1"/>
  <c r="BL12" i="3"/>
  <c r="J35" i="2"/>
  <c r="M35" i="2"/>
  <c r="L35" i="2"/>
  <c r="K35" i="2"/>
  <c r="C12" i="5"/>
  <c r="F28" i="3"/>
  <c r="G28" i="3" s="1"/>
  <c r="F35" i="3"/>
  <c r="G35" i="3" s="1"/>
  <c r="F29" i="3"/>
  <c r="G29" i="3" s="1"/>
  <c r="B8" i="4"/>
  <c r="D8" i="4" s="1"/>
  <c r="G40" i="3"/>
  <c r="F7" i="3"/>
  <c r="F5" i="3"/>
  <c r="BI3" i="3"/>
  <c r="G36" i="3"/>
  <c r="G41" i="3"/>
  <c r="E27" i="3"/>
  <c r="G27" i="3"/>
  <c r="G26" i="3"/>
  <c r="G25" i="3"/>
  <c r="BJ25" i="3" s="1"/>
  <c r="G23" i="3"/>
  <c r="G22" i="3"/>
  <c r="G21" i="3"/>
  <c r="G20" i="3"/>
  <c r="G19" i="3"/>
  <c r="G18" i="3"/>
  <c r="G17" i="3"/>
  <c r="BJ17" i="3" s="1"/>
  <c r="G16" i="3"/>
  <c r="G15" i="3"/>
  <c r="G14" i="3"/>
  <c r="G13" i="3"/>
  <c r="G12" i="3"/>
  <c r="G11" i="3"/>
  <c r="G10" i="3"/>
  <c r="G9" i="3"/>
  <c r="BI9" i="3" s="1"/>
  <c r="G8" i="3"/>
  <c r="G6" i="3"/>
  <c r="G4" i="3"/>
  <c r="E19" i="3"/>
  <c r="G30" i="3"/>
  <c r="I1" i="3"/>
  <c r="I2" i="3" s="1"/>
  <c r="E30" i="5" s="1"/>
  <c r="J1" i="3"/>
  <c r="J2" i="3" s="1"/>
  <c r="E31" i="5" s="1"/>
  <c r="BJ26" i="3"/>
  <c r="BJ14" i="3"/>
  <c r="BJ18" i="3"/>
  <c r="A34" i="5" l="1"/>
  <c r="K19" i="10"/>
  <c r="L18" i="10"/>
  <c r="G39" i="3"/>
  <c r="J39" i="3" s="1"/>
  <c r="BH4" i="3"/>
  <c r="BG4" i="3"/>
  <c r="H13" i="3"/>
  <c r="BF13" i="3"/>
  <c r="J13" i="3"/>
  <c r="I13" i="3"/>
  <c r="J26" i="3"/>
  <c r="H26" i="3"/>
  <c r="I26" i="3"/>
  <c r="BF26" i="3"/>
  <c r="G7" i="3"/>
  <c r="BI8" i="3"/>
  <c r="BH8" i="3"/>
  <c r="BG8" i="3"/>
  <c r="BF11" i="3"/>
  <c r="I11" i="3"/>
  <c r="H11" i="3"/>
  <c r="J11" i="3"/>
  <c r="BJ15" i="3"/>
  <c r="BF15" i="3"/>
  <c r="J15" i="3"/>
  <c r="I15" i="3"/>
  <c r="H15" i="3"/>
  <c r="BJ19" i="3"/>
  <c r="BF19" i="3"/>
  <c r="J19" i="3"/>
  <c r="H19" i="3"/>
  <c r="I19" i="3"/>
  <c r="BJ23" i="3"/>
  <c r="BF23" i="3"/>
  <c r="J23" i="3"/>
  <c r="I23" i="3"/>
  <c r="H23" i="3"/>
  <c r="H24" i="3"/>
  <c r="BJ13" i="3"/>
  <c r="BF12" i="3"/>
  <c r="J12" i="3"/>
  <c r="I12" i="3"/>
  <c r="H12" i="3"/>
  <c r="I16" i="3"/>
  <c r="J16" i="3"/>
  <c r="BF16" i="3"/>
  <c r="H16" i="3"/>
  <c r="H20" i="3"/>
  <c r="BF20" i="3"/>
  <c r="J20" i="3"/>
  <c r="I20" i="3"/>
  <c r="I25" i="3"/>
  <c r="H25" i="3"/>
  <c r="BF25" i="3"/>
  <c r="J25" i="3"/>
  <c r="BB41" i="3"/>
  <c r="AX41" i="3"/>
  <c r="AT41" i="3"/>
  <c r="AP41" i="3"/>
  <c r="AL41" i="3"/>
  <c r="AH41" i="3"/>
  <c r="AD41" i="3"/>
  <c r="Z41" i="3"/>
  <c r="V41" i="3"/>
  <c r="R41" i="3"/>
  <c r="N41" i="3"/>
  <c r="J41" i="3"/>
  <c r="BD41" i="3"/>
  <c r="AZ41" i="3"/>
  <c r="AV41" i="3"/>
  <c r="AR41" i="3"/>
  <c r="AN41" i="3"/>
  <c r="AJ41" i="3"/>
  <c r="AF41" i="3"/>
  <c r="AB41" i="3"/>
  <c r="X41" i="3"/>
  <c r="T41" i="3"/>
  <c r="P41" i="3"/>
  <c r="L41" i="3"/>
  <c r="H41" i="3"/>
  <c r="BE41" i="3"/>
  <c r="AW41" i="3"/>
  <c r="AO41" i="3"/>
  <c r="AG41" i="3"/>
  <c r="Y41" i="3"/>
  <c r="Q41" i="3"/>
  <c r="I41" i="3"/>
  <c r="BA41" i="3"/>
  <c r="AS41" i="3"/>
  <c r="AK41" i="3"/>
  <c r="AC41" i="3"/>
  <c r="U41" i="3"/>
  <c r="M41" i="3"/>
  <c r="BC41" i="3"/>
  <c r="AM41" i="3"/>
  <c r="W41" i="3"/>
  <c r="AU41" i="3"/>
  <c r="AE41" i="3"/>
  <c r="O41" i="3"/>
  <c r="AI41" i="3"/>
  <c r="AA41" i="3"/>
  <c r="AQ41" i="3"/>
  <c r="K41" i="3"/>
  <c r="AY41" i="3"/>
  <c r="S41" i="3"/>
  <c r="G5" i="3"/>
  <c r="BH5" i="3"/>
  <c r="I38" i="3"/>
  <c r="J38" i="3"/>
  <c r="H38" i="3"/>
  <c r="H39" i="3"/>
  <c r="C42" i="3"/>
  <c r="F42" i="3" s="1"/>
  <c r="G42" i="3" s="1"/>
  <c r="BG9" i="3"/>
  <c r="BH9" i="3"/>
  <c r="H17" i="3"/>
  <c r="J17" i="3"/>
  <c r="BF17" i="3"/>
  <c r="I17" i="3"/>
  <c r="H21" i="3"/>
  <c r="BF21" i="3"/>
  <c r="J21" i="3"/>
  <c r="I21" i="3"/>
  <c r="BJ21" i="3"/>
  <c r="BI6" i="3"/>
  <c r="BG6" i="3"/>
  <c r="BH6" i="3"/>
  <c r="H10" i="3"/>
  <c r="BF10" i="3"/>
  <c r="J10" i="3"/>
  <c r="I10" i="3"/>
  <c r="I14" i="3"/>
  <c r="BF14" i="3"/>
  <c r="J14" i="3"/>
  <c r="H14" i="3"/>
  <c r="I18" i="3"/>
  <c r="H18" i="3"/>
  <c r="J18" i="3"/>
  <c r="BF18" i="3"/>
  <c r="BJ22" i="3"/>
  <c r="I22" i="3"/>
  <c r="BF22" i="3"/>
  <c r="J22" i="3"/>
  <c r="H22" i="3"/>
  <c r="BJ27" i="3"/>
  <c r="I27" i="3"/>
  <c r="H27" i="3"/>
  <c r="BF27" i="3"/>
  <c r="J27" i="3"/>
  <c r="H36" i="3"/>
  <c r="J36" i="3"/>
  <c r="I36" i="3"/>
  <c r="BD40" i="3"/>
  <c r="AZ40" i="3"/>
  <c r="AV40" i="3"/>
  <c r="AR40" i="3"/>
  <c r="AN40" i="3"/>
  <c r="AJ40" i="3"/>
  <c r="AF40" i="3"/>
  <c r="AB40" i="3"/>
  <c r="X40" i="3"/>
  <c r="T40" i="3"/>
  <c r="P40" i="3"/>
  <c r="L40" i="3"/>
  <c r="H40" i="3"/>
  <c r="BB40" i="3"/>
  <c r="AX40" i="3"/>
  <c r="AT40" i="3"/>
  <c r="AP40" i="3"/>
  <c r="AL40" i="3"/>
  <c r="AH40" i="3"/>
  <c r="AD40" i="3"/>
  <c r="Z40" i="3"/>
  <c r="V40" i="3"/>
  <c r="R40" i="3"/>
  <c r="N40" i="3"/>
  <c r="J40" i="3"/>
  <c r="AY40" i="3"/>
  <c r="AQ40" i="3"/>
  <c r="AI40" i="3"/>
  <c r="AA40" i="3"/>
  <c r="S40" i="3"/>
  <c r="K40" i="3"/>
  <c r="BC40" i="3"/>
  <c r="AU40" i="3"/>
  <c r="AM40" i="3"/>
  <c r="AE40" i="3"/>
  <c r="W40" i="3"/>
  <c r="O40" i="3"/>
  <c r="BE40" i="3"/>
  <c r="AO40" i="3"/>
  <c r="Y40" i="3"/>
  <c r="I40" i="3"/>
  <c r="AW40" i="3"/>
  <c r="AG40" i="3"/>
  <c r="Q40" i="3"/>
  <c r="BA40" i="3"/>
  <c r="U40" i="3"/>
  <c r="AS40" i="3"/>
  <c r="M40" i="3"/>
  <c r="AC40" i="3"/>
  <c r="AK40" i="3"/>
  <c r="J35" i="3"/>
  <c r="H35" i="3"/>
  <c r="I35" i="3"/>
  <c r="K35" i="3"/>
  <c r="BI24" i="3"/>
  <c r="BH24" i="3"/>
  <c r="BG24" i="3"/>
  <c r="BJ12" i="3"/>
  <c r="D23" i="4"/>
  <c r="BJ10" i="3"/>
  <c r="BJ16" i="3"/>
  <c r="K1" i="3"/>
  <c r="K13" i="3" s="1"/>
  <c r="G31" i="3"/>
  <c r="E24" i="4" s="1"/>
  <c r="BJ20" i="3"/>
  <c r="BJ11" i="3"/>
  <c r="B17" i="4" s="1"/>
  <c r="D17" i="4" s="1"/>
  <c r="BI4" i="3"/>
  <c r="D24" i="4"/>
  <c r="K14" i="3" l="1"/>
  <c r="K17" i="3"/>
  <c r="B78" i="5"/>
  <c r="B74" i="5"/>
  <c r="B70" i="5"/>
  <c r="B66" i="5"/>
  <c r="B62" i="5"/>
  <c r="B58" i="5"/>
  <c r="B54" i="5"/>
  <c r="B50" i="5"/>
  <c r="B46" i="5"/>
  <c r="B42" i="5"/>
  <c r="B38" i="5"/>
  <c r="B34" i="5"/>
  <c r="B30" i="5"/>
  <c r="B77" i="5"/>
  <c r="B69" i="5"/>
  <c r="B65" i="5"/>
  <c r="B61" i="5"/>
  <c r="B57" i="5"/>
  <c r="B53" i="5"/>
  <c r="B49" i="5"/>
  <c r="B45" i="5"/>
  <c r="B37" i="5"/>
  <c r="B33" i="5"/>
  <c r="B29" i="5"/>
  <c r="B75" i="5"/>
  <c r="B71" i="5"/>
  <c r="B59" i="5"/>
  <c r="B55" i="5"/>
  <c r="B43" i="5"/>
  <c r="B39" i="5"/>
  <c r="B73" i="5"/>
  <c r="B41" i="5"/>
  <c r="B76" i="5"/>
  <c r="B72" i="5"/>
  <c r="B68" i="5"/>
  <c r="B64" i="5"/>
  <c r="B56" i="5"/>
  <c r="B52" i="5"/>
  <c r="B44" i="5"/>
  <c r="B40" i="5"/>
  <c r="B32" i="5"/>
  <c r="B63" i="5"/>
  <c r="B47" i="5"/>
  <c r="B31" i="5"/>
  <c r="B60" i="5"/>
  <c r="B48" i="5"/>
  <c r="B36" i="5"/>
  <c r="B67" i="5"/>
  <c r="B51" i="5"/>
  <c r="B35" i="5"/>
  <c r="K19" i="3"/>
  <c r="A35" i="5"/>
  <c r="I39" i="3"/>
  <c r="K20" i="10"/>
  <c r="L19" i="10"/>
  <c r="BN14" i="3"/>
  <c r="K2" i="3"/>
  <c r="E32" i="5" s="1"/>
  <c r="K11" i="3"/>
  <c r="K23" i="3"/>
  <c r="K20" i="3"/>
  <c r="K25" i="3"/>
  <c r="K10" i="3"/>
  <c r="K12" i="3"/>
  <c r="K21" i="3"/>
  <c r="K26" i="3"/>
  <c r="K16" i="3"/>
  <c r="K15" i="3"/>
  <c r="BI7" i="3"/>
  <c r="BG7" i="3"/>
  <c r="BH7" i="3"/>
  <c r="D29" i="4"/>
  <c r="E29" i="4"/>
  <c r="K27" i="3"/>
  <c r="K22" i="3"/>
  <c r="K18" i="3"/>
  <c r="K38" i="3"/>
  <c r="BD42" i="3"/>
  <c r="AZ42" i="3"/>
  <c r="AV42" i="3"/>
  <c r="AR42" i="3"/>
  <c r="AN42" i="3"/>
  <c r="AJ42" i="3"/>
  <c r="AF42" i="3"/>
  <c r="AB42" i="3"/>
  <c r="X42" i="3"/>
  <c r="T42" i="3"/>
  <c r="P42" i="3"/>
  <c r="L42" i="3"/>
  <c r="H42" i="3"/>
  <c r="BB42" i="3"/>
  <c r="AX42" i="3"/>
  <c r="AT42" i="3"/>
  <c r="AP42" i="3"/>
  <c r="AL42" i="3"/>
  <c r="AH42" i="3"/>
  <c r="AD42" i="3"/>
  <c r="Z42" i="3"/>
  <c r="V42" i="3"/>
  <c r="R42" i="3"/>
  <c r="N42" i="3"/>
  <c r="J42" i="3"/>
  <c r="BC42" i="3"/>
  <c r="AU42" i="3"/>
  <c r="AM42" i="3"/>
  <c r="AE42" i="3"/>
  <c r="W42" i="3"/>
  <c r="O42" i="3"/>
  <c r="AY42" i="3"/>
  <c r="AQ42" i="3"/>
  <c r="AI42" i="3"/>
  <c r="AA42" i="3"/>
  <c r="S42" i="3"/>
  <c r="K42" i="3"/>
  <c r="BA42" i="3"/>
  <c r="AK42" i="3"/>
  <c r="U42" i="3"/>
  <c r="AS42" i="3"/>
  <c r="AC42" i="3"/>
  <c r="M42" i="3"/>
  <c r="AW42" i="3"/>
  <c r="Q42" i="3"/>
  <c r="AO42" i="3"/>
  <c r="I42" i="3"/>
  <c r="BE42" i="3"/>
  <c r="AG42" i="3"/>
  <c r="Y42" i="3"/>
  <c r="BI5" i="3"/>
  <c r="E23" i="4"/>
  <c r="F23" i="4" s="1"/>
  <c r="BG5" i="3"/>
  <c r="BH41" i="3"/>
  <c r="BG41" i="3"/>
  <c r="BI41" i="3"/>
  <c r="BG40" i="3"/>
  <c r="BH40" i="3"/>
  <c r="BI40" i="3"/>
  <c r="BF28" i="3"/>
  <c r="D18" i="4" s="1"/>
  <c r="F24" i="4"/>
  <c r="L1" i="3"/>
  <c r="F29" i="4"/>
  <c r="G32" i="3"/>
  <c r="H32" i="3"/>
  <c r="H33" i="3" s="1"/>
  <c r="H44" i="3" l="1"/>
  <c r="C29" i="5" s="1"/>
  <c r="G29" i="5" s="1"/>
  <c r="H29" i="5" s="1"/>
  <c r="A36" i="5"/>
  <c r="BF33" i="3"/>
  <c r="K21" i="10"/>
  <c r="L20" i="10"/>
  <c r="BH42" i="3"/>
  <c r="BI42" i="3"/>
  <c r="BG42" i="3"/>
  <c r="L2" i="3"/>
  <c r="E33" i="5" s="1"/>
  <c r="L13" i="3"/>
  <c r="L11" i="3"/>
  <c r="L15" i="3"/>
  <c r="L21" i="3"/>
  <c r="L18" i="3"/>
  <c r="L22" i="3"/>
  <c r="L16" i="3"/>
  <c r="L25" i="3"/>
  <c r="L12" i="3"/>
  <c r="L26" i="3"/>
  <c r="L19" i="3"/>
  <c r="L38" i="3"/>
  <c r="L17" i="3"/>
  <c r="L14" i="3"/>
  <c r="L20" i="3"/>
  <c r="L27" i="3"/>
  <c r="L35" i="3"/>
  <c r="L23" i="3"/>
  <c r="L10" i="3"/>
  <c r="K39" i="3"/>
  <c r="K36" i="3"/>
  <c r="I32" i="3"/>
  <c r="J32" i="3"/>
  <c r="J33" i="3" s="1"/>
  <c r="K32" i="3"/>
  <c r="K33" i="3" s="1"/>
  <c r="L32" i="3"/>
  <c r="M1" i="3"/>
  <c r="M32" i="3" s="1"/>
  <c r="K44" i="3" l="1"/>
  <c r="C32" i="5" s="1"/>
  <c r="G32" i="5" s="1"/>
  <c r="A37" i="5"/>
  <c r="J44" i="3"/>
  <c r="C31" i="5" s="1"/>
  <c r="G31" i="5" s="1"/>
  <c r="K22" i="10"/>
  <c r="L21" i="10"/>
  <c r="L39" i="3"/>
  <c r="L36" i="3"/>
  <c r="M2" i="3"/>
  <c r="E34" i="5" s="1"/>
  <c r="M11" i="3"/>
  <c r="M19" i="3"/>
  <c r="M21" i="3"/>
  <c r="M13" i="3"/>
  <c r="M26" i="3"/>
  <c r="M23" i="3"/>
  <c r="M12" i="3"/>
  <c r="M38" i="3"/>
  <c r="M20" i="3"/>
  <c r="M25" i="3"/>
  <c r="M10" i="3"/>
  <c r="M18" i="3"/>
  <c r="M22" i="3"/>
  <c r="M15" i="3"/>
  <c r="M16" i="3"/>
  <c r="M17" i="3"/>
  <c r="M14" i="3"/>
  <c r="M35" i="3"/>
  <c r="M27" i="3"/>
  <c r="I33" i="3"/>
  <c r="I44" i="3" s="1"/>
  <c r="C30" i="5" s="1"/>
  <c r="G30" i="5" s="1"/>
  <c r="H30" i="5" s="1"/>
  <c r="L33" i="3"/>
  <c r="N1" i="3"/>
  <c r="L44" i="3" l="1"/>
  <c r="C33" i="5" s="1"/>
  <c r="G33" i="5" s="1"/>
  <c r="A38" i="5"/>
  <c r="H31" i="5"/>
  <c r="H32" i="5" s="1"/>
  <c r="K23" i="10"/>
  <c r="L22" i="10"/>
  <c r="N2" i="3"/>
  <c r="E35" i="5" s="1"/>
  <c r="N38" i="3"/>
  <c r="N10" i="3"/>
  <c r="N18" i="3"/>
  <c r="N15" i="3"/>
  <c r="N16" i="3"/>
  <c r="N17" i="3"/>
  <c r="N13" i="3"/>
  <c r="N26" i="3"/>
  <c r="N11" i="3"/>
  <c r="N19" i="3"/>
  <c r="N20" i="3"/>
  <c r="N25" i="3"/>
  <c r="N14" i="3"/>
  <c r="N22" i="3"/>
  <c r="N27" i="3"/>
  <c r="N12" i="3"/>
  <c r="N35" i="3"/>
  <c r="N21" i="3"/>
  <c r="N23" i="3"/>
  <c r="N32" i="3"/>
  <c r="M39" i="3"/>
  <c r="M36" i="3"/>
  <c r="M33" i="3"/>
  <c r="O1" i="3"/>
  <c r="H33" i="5" l="1"/>
  <c r="A39" i="5"/>
  <c r="M44" i="3"/>
  <c r="C34" i="5" s="1"/>
  <c r="G34" i="5" s="1"/>
  <c r="K24" i="10"/>
  <c r="L23" i="10"/>
  <c r="O2" i="3"/>
  <c r="E36" i="5" s="1"/>
  <c r="O13" i="3"/>
  <c r="O19" i="3"/>
  <c r="O16" i="3"/>
  <c r="O26" i="3"/>
  <c r="O15" i="3"/>
  <c r="O38" i="3"/>
  <c r="O21" i="3"/>
  <c r="O23" i="3"/>
  <c r="O12" i="3"/>
  <c r="O14" i="3"/>
  <c r="O20" i="3"/>
  <c r="O22" i="3"/>
  <c r="O27" i="3"/>
  <c r="O25" i="3"/>
  <c r="O10" i="3"/>
  <c r="O18" i="3"/>
  <c r="O35" i="3"/>
  <c r="O11" i="3"/>
  <c r="O17" i="3"/>
  <c r="O32" i="3"/>
  <c r="N39" i="3"/>
  <c r="N44" i="3" s="1"/>
  <c r="C35" i="5" s="1"/>
  <c r="G35" i="5" s="1"/>
  <c r="N36" i="3"/>
  <c r="N33" i="3"/>
  <c r="P1" i="3"/>
  <c r="H34" i="5" l="1"/>
  <c r="H35" i="5" s="1"/>
  <c r="A40" i="5"/>
  <c r="K25" i="10"/>
  <c r="L24" i="10"/>
  <c r="P2" i="3"/>
  <c r="E37" i="5" s="1"/>
  <c r="P26" i="3"/>
  <c r="P15" i="3"/>
  <c r="P16" i="3"/>
  <c r="P25" i="3"/>
  <c r="P17" i="3"/>
  <c r="P19" i="3"/>
  <c r="P10" i="3"/>
  <c r="P11" i="3"/>
  <c r="P12" i="3"/>
  <c r="P13" i="3"/>
  <c r="P23" i="3"/>
  <c r="P21" i="3"/>
  <c r="P18" i="3"/>
  <c r="P22" i="3"/>
  <c r="P35" i="3"/>
  <c r="P27" i="3"/>
  <c r="P38" i="3"/>
  <c r="P14" i="3"/>
  <c r="P20" i="3"/>
  <c r="P32" i="3"/>
  <c r="O39" i="3"/>
  <c r="O36" i="3"/>
  <c r="Q1" i="3"/>
  <c r="O33" i="3"/>
  <c r="O44" i="3" l="1"/>
  <c r="C36" i="5" s="1"/>
  <c r="G36" i="5" s="1"/>
  <c r="H36" i="5" s="1"/>
  <c r="P33" i="3"/>
  <c r="A41" i="5"/>
  <c r="K26" i="10"/>
  <c r="L25" i="10"/>
  <c r="Q2" i="3"/>
  <c r="E38" i="5" s="1"/>
  <c r="Q23" i="3"/>
  <c r="Q16" i="3"/>
  <c r="Q10" i="3"/>
  <c r="Q13" i="3"/>
  <c r="Q19" i="3"/>
  <c r="Q12" i="3"/>
  <c r="Q25" i="3"/>
  <c r="Q38" i="3"/>
  <c r="Q17" i="3"/>
  <c r="Q21" i="3"/>
  <c r="Q14" i="3"/>
  <c r="Q26" i="3"/>
  <c r="Q35" i="3"/>
  <c r="Q15" i="3"/>
  <c r="Q27" i="3"/>
  <c r="Q11" i="3"/>
  <c r="Q18" i="3"/>
  <c r="Q22" i="3"/>
  <c r="Q20" i="3"/>
  <c r="Q32" i="3"/>
  <c r="P36" i="3"/>
  <c r="P39" i="3"/>
  <c r="P44" i="3" s="1"/>
  <c r="C37" i="5" s="1"/>
  <c r="G37" i="5" s="1"/>
  <c r="R1" i="3"/>
  <c r="A42" i="5" l="1"/>
  <c r="H37" i="5"/>
  <c r="K27" i="10"/>
  <c r="L26" i="10"/>
  <c r="R2" i="3"/>
  <c r="E39" i="5" s="1"/>
  <c r="R26" i="3"/>
  <c r="R11" i="3"/>
  <c r="R19" i="3"/>
  <c r="R23" i="3"/>
  <c r="R20" i="3"/>
  <c r="R14" i="3"/>
  <c r="R12" i="3"/>
  <c r="R25" i="3"/>
  <c r="R13" i="3"/>
  <c r="R16" i="3"/>
  <c r="R38" i="3"/>
  <c r="R17" i="3"/>
  <c r="R10" i="3"/>
  <c r="R18" i="3"/>
  <c r="R21" i="3"/>
  <c r="R22" i="3"/>
  <c r="R27" i="3"/>
  <c r="R15" i="3"/>
  <c r="R35" i="3"/>
  <c r="R32" i="3"/>
  <c r="Q39" i="3"/>
  <c r="Q36" i="3"/>
  <c r="S1" i="3"/>
  <c r="Q33" i="3"/>
  <c r="Q44" i="3" l="1"/>
  <c r="C38" i="5" s="1"/>
  <c r="G38" i="5" s="1"/>
  <c r="H38" i="5" s="1"/>
  <c r="A43" i="5"/>
  <c r="K28" i="10"/>
  <c r="L27" i="10"/>
  <c r="R39" i="3"/>
  <c r="R36" i="3"/>
  <c r="S2" i="3"/>
  <c r="E40" i="5" s="1"/>
  <c r="S26" i="3"/>
  <c r="S12" i="3"/>
  <c r="S17" i="3"/>
  <c r="S11" i="3"/>
  <c r="S20" i="3"/>
  <c r="S25" i="3"/>
  <c r="S21" i="3"/>
  <c r="S10" i="3"/>
  <c r="S15" i="3"/>
  <c r="S23" i="3"/>
  <c r="S16" i="3"/>
  <c r="S14" i="3"/>
  <c r="S19" i="3"/>
  <c r="S38" i="3"/>
  <c r="S22" i="3"/>
  <c r="S35" i="3"/>
  <c r="S13" i="3"/>
  <c r="S18" i="3"/>
  <c r="S27" i="3"/>
  <c r="S32" i="3"/>
  <c r="T1" i="3"/>
  <c r="R33" i="3"/>
  <c r="R44" i="3" l="1"/>
  <c r="C39" i="5" s="1"/>
  <c r="G39" i="5" s="1"/>
  <c r="H39" i="5" s="1"/>
  <c r="A44" i="5"/>
  <c r="K29" i="10"/>
  <c r="L28" i="10"/>
  <c r="T2" i="3"/>
  <c r="E41" i="5" s="1"/>
  <c r="T12" i="3"/>
  <c r="T14" i="3"/>
  <c r="T22" i="3"/>
  <c r="T27" i="3"/>
  <c r="T13" i="3"/>
  <c r="T11" i="3"/>
  <c r="T23" i="3"/>
  <c r="T21" i="3"/>
  <c r="T16" i="3"/>
  <c r="T15" i="3"/>
  <c r="T20" i="3"/>
  <c r="T26" i="3"/>
  <c r="T10" i="3"/>
  <c r="T38" i="3"/>
  <c r="T18" i="3"/>
  <c r="T35" i="3"/>
  <c r="T19" i="3"/>
  <c r="T25" i="3"/>
  <c r="T17" i="3"/>
  <c r="T32" i="3"/>
  <c r="S39" i="3"/>
  <c r="S44" i="3" s="1"/>
  <c r="C40" i="5" s="1"/>
  <c r="G40" i="5" s="1"/>
  <c r="S36" i="3"/>
  <c r="S33" i="3"/>
  <c r="U1" i="3"/>
  <c r="A45" i="5" l="1"/>
  <c r="H40" i="5"/>
  <c r="K30" i="10"/>
  <c r="K31" i="10" s="1"/>
  <c r="L31" i="10" s="1"/>
  <c r="L29" i="10"/>
  <c r="T39" i="3"/>
  <c r="T36" i="3"/>
  <c r="U2" i="3"/>
  <c r="E42" i="5" s="1"/>
  <c r="U16" i="3"/>
  <c r="U18" i="3"/>
  <c r="U22" i="3"/>
  <c r="U27" i="3"/>
  <c r="U11" i="3"/>
  <c r="U12" i="3"/>
  <c r="U20" i="3"/>
  <c r="U10" i="3"/>
  <c r="U17" i="3"/>
  <c r="U14" i="3"/>
  <c r="U26" i="3"/>
  <c r="U38" i="3"/>
  <c r="U19" i="3"/>
  <c r="U25" i="3"/>
  <c r="U13" i="3"/>
  <c r="U15" i="3"/>
  <c r="U21" i="3"/>
  <c r="U23" i="3"/>
  <c r="U35" i="3"/>
  <c r="U32" i="3"/>
  <c r="V1" i="3"/>
  <c r="T33" i="3"/>
  <c r="T44" i="3" l="1"/>
  <c r="C41" i="5" s="1"/>
  <c r="G41" i="5" s="1"/>
  <c r="H41" i="5" s="1"/>
  <c r="A46" i="5"/>
  <c r="L30" i="10"/>
  <c r="V2" i="3"/>
  <c r="E43" i="5" s="1"/>
  <c r="V15" i="3"/>
  <c r="V20" i="3"/>
  <c r="V25" i="3"/>
  <c r="V18" i="3"/>
  <c r="V22" i="3"/>
  <c r="V10" i="3"/>
  <c r="V13" i="3"/>
  <c r="V23" i="3"/>
  <c r="V38" i="3"/>
  <c r="V17" i="3"/>
  <c r="V26" i="3"/>
  <c r="V19" i="3"/>
  <c r="V21" i="3"/>
  <c r="V12" i="3"/>
  <c r="V11" i="3"/>
  <c r="V14" i="3"/>
  <c r="V16" i="3"/>
  <c r="V27" i="3"/>
  <c r="V35" i="3"/>
  <c r="V32" i="3"/>
  <c r="U39" i="3"/>
  <c r="U36" i="3"/>
  <c r="W1" i="3"/>
  <c r="U33" i="3"/>
  <c r="A47" i="5" l="1"/>
  <c r="U44" i="3"/>
  <c r="C42" i="5" s="1"/>
  <c r="G42" i="5" s="1"/>
  <c r="H42" i="5" s="1"/>
  <c r="K32" i="10"/>
  <c r="W2" i="3"/>
  <c r="E44" i="5" s="1"/>
  <c r="W13" i="3"/>
  <c r="W38" i="3"/>
  <c r="W17" i="3"/>
  <c r="W27" i="3"/>
  <c r="W15" i="3"/>
  <c r="W19" i="3"/>
  <c r="W16" i="3"/>
  <c r="W21" i="3"/>
  <c r="W23" i="3"/>
  <c r="W10" i="3"/>
  <c r="W26" i="3"/>
  <c r="W25" i="3"/>
  <c r="W22" i="3"/>
  <c r="W12" i="3"/>
  <c r="W20" i="3"/>
  <c r="W14" i="3"/>
  <c r="W18" i="3"/>
  <c r="W11" i="3"/>
  <c r="W35" i="3"/>
  <c r="W32" i="3"/>
  <c r="V39" i="3"/>
  <c r="V36" i="3"/>
  <c r="X1" i="3"/>
  <c r="V33" i="3"/>
  <c r="V44" i="3" l="1"/>
  <c r="C43" i="5" s="1"/>
  <c r="G43" i="5" s="1"/>
  <c r="H43" i="5" s="1"/>
  <c r="A48" i="5"/>
  <c r="K33" i="10"/>
  <c r="L32" i="10"/>
  <c r="X2" i="3"/>
  <c r="E45" i="5" s="1"/>
  <c r="X15" i="3"/>
  <c r="X23" i="3"/>
  <c r="X10" i="3"/>
  <c r="X26" i="3"/>
  <c r="X19" i="3"/>
  <c r="X17" i="3"/>
  <c r="X25" i="3"/>
  <c r="X11" i="3"/>
  <c r="X12" i="3"/>
  <c r="X16" i="3"/>
  <c r="X13" i="3"/>
  <c r="X38" i="3"/>
  <c r="X14" i="3"/>
  <c r="X18" i="3"/>
  <c r="X27" i="3"/>
  <c r="X22" i="3"/>
  <c r="X21" i="3"/>
  <c r="X20" i="3"/>
  <c r="X35" i="3"/>
  <c r="X32" i="3"/>
  <c r="W39" i="3"/>
  <c r="W36" i="3"/>
  <c r="Y1" i="3"/>
  <c r="W33" i="3"/>
  <c r="W44" i="3" l="1"/>
  <c r="C44" i="5" s="1"/>
  <c r="G44" i="5" s="1"/>
  <c r="H44" i="5" s="1"/>
  <c r="A49" i="5"/>
  <c r="K34" i="10"/>
  <c r="L33" i="10"/>
  <c r="Y2" i="3"/>
  <c r="E46" i="5" s="1"/>
  <c r="Y15" i="3"/>
  <c r="Y16" i="3"/>
  <c r="Y25" i="3"/>
  <c r="Y38" i="3"/>
  <c r="Y17" i="3"/>
  <c r="Y21" i="3"/>
  <c r="Y10" i="3"/>
  <c r="Y14" i="3"/>
  <c r="Y13" i="3"/>
  <c r="Y26" i="3"/>
  <c r="Y20" i="3"/>
  <c r="Y27" i="3"/>
  <c r="Y18" i="3"/>
  <c r="Y22" i="3"/>
  <c r="Y35" i="3"/>
  <c r="Y19" i="3"/>
  <c r="Y23" i="3"/>
  <c r="Y12" i="3"/>
  <c r="Y11" i="3"/>
  <c r="Y32" i="3"/>
  <c r="X36" i="3"/>
  <c r="X39" i="3"/>
  <c r="Z1" i="3"/>
  <c r="X33" i="3"/>
  <c r="A50" i="5" l="1"/>
  <c r="X44" i="3"/>
  <c r="C45" i="5" s="1"/>
  <c r="G45" i="5" s="1"/>
  <c r="H45" i="5" s="1"/>
  <c r="K35" i="10"/>
  <c r="L34" i="10"/>
  <c r="Z2" i="3"/>
  <c r="E47" i="5" s="1"/>
  <c r="Z16" i="3"/>
  <c r="Z25" i="3"/>
  <c r="Z38" i="3"/>
  <c r="Z21" i="3"/>
  <c r="Z18" i="3"/>
  <c r="Z13" i="3"/>
  <c r="Z26" i="3"/>
  <c r="Z19" i="3"/>
  <c r="Z23" i="3"/>
  <c r="Z17" i="3"/>
  <c r="Z15" i="3"/>
  <c r="Z20" i="3"/>
  <c r="Z12" i="3"/>
  <c r="Z10" i="3"/>
  <c r="Z14" i="3"/>
  <c r="Z11" i="3"/>
  <c r="Z22" i="3"/>
  <c r="Z27" i="3"/>
  <c r="Z35" i="3"/>
  <c r="Z32" i="3"/>
  <c r="Y39" i="3"/>
  <c r="Y44" i="3" s="1"/>
  <c r="C46" i="5" s="1"/>
  <c r="G46" i="5" s="1"/>
  <c r="Y36" i="3"/>
  <c r="AA1" i="3"/>
  <c r="Y33" i="3"/>
  <c r="H46" i="5" l="1"/>
  <c r="A51" i="5"/>
  <c r="K36" i="10"/>
  <c r="L35" i="10"/>
  <c r="Z39" i="3"/>
  <c r="Z36" i="3"/>
  <c r="AA2" i="3"/>
  <c r="E48" i="5" s="1"/>
  <c r="AA13" i="3"/>
  <c r="BG13" i="3" s="1"/>
  <c r="AA11" i="3"/>
  <c r="BG11" i="3" s="1"/>
  <c r="AA19" i="3"/>
  <c r="BG19" i="3" s="1"/>
  <c r="AA20" i="3"/>
  <c r="BG20" i="3" s="1"/>
  <c r="AA25" i="3"/>
  <c r="BG25" i="3" s="1"/>
  <c r="AA17" i="3"/>
  <c r="BG17" i="3" s="1"/>
  <c r="AA10" i="3"/>
  <c r="AA26" i="3"/>
  <c r="BG26" i="3" s="1"/>
  <c r="AA15" i="3"/>
  <c r="BG15" i="3" s="1"/>
  <c r="AA23" i="3"/>
  <c r="BG23" i="3" s="1"/>
  <c r="AA12" i="3"/>
  <c r="BG12" i="3" s="1"/>
  <c r="AA38" i="3"/>
  <c r="AA18" i="3"/>
  <c r="BG18" i="3" s="1"/>
  <c r="AA16" i="3"/>
  <c r="BG16" i="3" s="1"/>
  <c r="AA21" i="3"/>
  <c r="BG21" i="3" s="1"/>
  <c r="AA14" i="3"/>
  <c r="BG14" i="3" s="1"/>
  <c r="AA22" i="3"/>
  <c r="BG22" i="3" s="1"/>
  <c r="AA27" i="3"/>
  <c r="BG27" i="3" s="1"/>
  <c r="AA35" i="3"/>
  <c r="BG35" i="3" s="1"/>
  <c r="AA32" i="3"/>
  <c r="BG32" i="3" s="1"/>
  <c r="Z33" i="3"/>
  <c r="AB1" i="3"/>
  <c r="Z44" i="3" l="1"/>
  <c r="C47" i="5" s="1"/>
  <c r="G47" i="5" s="1"/>
  <c r="H47" i="5" s="1"/>
  <c r="A52" i="5"/>
  <c r="K37" i="10"/>
  <c r="L36" i="10"/>
  <c r="AB2" i="3"/>
  <c r="E49" i="5" s="1"/>
  <c r="AB13" i="3"/>
  <c r="AB11" i="3"/>
  <c r="AB16" i="3"/>
  <c r="AB25" i="3"/>
  <c r="AB38" i="3"/>
  <c r="AB21" i="3"/>
  <c r="AB23" i="3"/>
  <c r="AB20" i="3"/>
  <c r="AB19" i="3"/>
  <c r="AB10" i="3"/>
  <c r="AB18" i="3"/>
  <c r="AB15" i="3"/>
  <c r="AB17" i="3"/>
  <c r="AB35" i="3"/>
  <c r="AB14" i="3"/>
  <c r="AB26" i="3"/>
  <c r="AB22" i="3"/>
  <c r="AB27" i="3"/>
  <c r="AB12" i="3"/>
  <c r="AB32" i="3"/>
  <c r="AA39" i="3"/>
  <c r="AA36" i="3"/>
  <c r="AA33" i="3"/>
  <c r="AC1" i="3"/>
  <c r="AA44" i="3" l="1"/>
  <c r="C48" i="5" s="1"/>
  <c r="G48" i="5" s="1"/>
  <c r="H48" i="5" s="1"/>
  <c r="A53" i="5"/>
  <c r="K38" i="10"/>
  <c r="L37" i="10"/>
  <c r="AC2" i="3"/>
  <c r="E50" i="5" s="1"/>
  <c r="AC26" i="3"/>
  <c r="AC11" i="3"/>
  <c r="AC15" i="3"/>
  <c r="AC23" i="3"/>
  <c r="AC12" i="3"/>
  <c r="AC17" i="3"/>
  <c r="AC16" i="3"/>
  <c r="AC20" i="3"/>
  <c r="AC10" i="3"/>
  <c r="AC13" i="3"/>
  <c r="AC14" i="3"/>
  <c r="AC22" i="3"/>
  <c r="AC35" i="3"/>
  <c r="AC19" i="3"/>
  <c r="AC25" i="3"/>
  <c r="AC21" i="3"/>
  <c r="AC27" i="3"/>
  <c r="AC18" i="3"/>
  <c r="AC38" i="3"/>
  <c r="AC32" i="3"/>
  <c r="AB36" i="3"/>
  <c r="AB39" i="3"/>
  <c r="AB44" i="3" s="1"/>
  <c r="C49" i="5" s="1"/>
  <c r="G49" i="5" s="1"/>
  <c r="AD1" i="3"/>
  <c r="AB33" i="3"/>
  <c r="H49" i="5" l="1"/>
  <c r="A54" i="5"/>
  <c r="K39" i="10"/>
  <c r="L38" i="10"/>
  <c r="AC39" i="3"/>
  <c r="AC36" i="3"/>
  <c r="AD2" i="3"/>
  <c r="E51" i="5" s="1"/>
  <c r="AD20" i="3"/>
  <c r="AD10" i="3"/>
  <c r="AD14" i="3"/>
  <c r="AD11" i="3"/>
  <c r="AD15" i="3"/>
  <c r="AD12" i="3"/>
  <c r="AD25" i="3"/>
  <c r="AD38" i="3"/>
  <c r="AD13" i="3"/>
  <c r="AD17" i="3"/>
  <c r="AD23" i="3"/>
  <c r="AD16" i="3"/>
  <c r="AD21" i="3"/>
  <c r="AD26" i="3"/>
  <c r="AD22" i="3"/>
  <c r="AD18" i="3"/>
  <c r="AD35" i="3"/>
  <c r="AD19" i="3"/>
  <c r="AD27" i="3"/>
  <c r="AD32" i="3"/>
  <c r="AE1" i="3"/>
  <c r="AC33" i="3"/>
  <c r="AC44" i="3" l="1"/>
  <c r="C50" i="5" s="1"/>
  <c r="G50" i="5" s="1"/>
  <c r="H50" i="5" s="1"/>
  <c r="A55" i="5"/>
  <c r="K40" i="10"/>
  <c r="L39" i="10"/>
  <c r="AE2" i="3"/>
  <c r="E52" i="5" s="1"/>
  <c r="AE19" i="3"/>
  <c r="AE23" i="3"/>
  <c r="AE16" i="3"/>
  <c r="AE18" i="3"/>
  <c r="AE38" i="3"/>
  <c r="AE14" i="3"/>
  <c r="AE11" i="3"/>
  <c r="AE20" i="3"/>
  <c r="AE25" i="3"/>
  <c r="AE21" i="3"/>
  <c r="AE17" i="3"/>
  <c r="AE10" i="3"/>
  <c r="AE13" i="3"/>
  <c r="AE27" i="3"/>
  <c r="AE12" i="3"/>
  <c r="AE35" i="3"/>
  <c r="AE15" i="3"/>
  <c r="AE26" i="3"/>
  <c r="AE22" i="3"/>
  <c r="AE32" i="3"/>
  <c r="AD39" i="3"/>
  <c r="AD36" i="3"/>
  <c r="AF1" i="3"/>
  <c r="AD33" i="3"/>
  <c r="AD44" i="3" l="1"/>
  <c r="C51" i="5" s="1"/>
  <c r="G51" i="5" s="1"/>
  <c r="H51" i="5" s="1"/>
  <c r="A56" i="5"/>
  <c r="K41" i="10"/>
  <c r="L40" i="10"/>
  <c r="AE33" i="3"/>
  <c r="AF2" i="3"/>
  <c r="E53" i="5" s="1"/>
  <c r="AF26" i="3"/>
  <c r="AF12" i="3"/>
  <c r="AF20" i="3"/>
  <c r="AF17" i="3"/>
  <c r="AF23" i="3"/>
  <c r="AF16" i="3"/>
  <c r="AF25" i="3"/>
  <c r="AF38" i="3"/>
  <c r="AF10" i="3"/>
  <c r="AF19" i="3"/>
  <c r="AF21" i="3"/>
  <c r="AF14" i="3"/>
  <c r="AF18" i="3"/>
  <c r="AF13" i="3"/>
  <c r="AF22" i="3"/>
  <c r="AF27" i="3"/>
  <c r="AF35" i="3"/>
  <c r="AF11" i="3"/>
  <c r="AF15" i="3"/>
  <c r="AF32" i="3"/>
  <c r="AE39" i="3"/>
  <c r="AE44" i="3" s="1"/>
  <c r="C52" i="5" s="1"/>
  <c r="G52" i="5" s="1"/>
  <c r="AE36" i="3"/>
  <c r="AG1" i="3"/>
  <c r="H52" i="5" l="1"/>
  <c r="A57" i="5"/>
  <c r="K42" i="10"/>
  <c r="L41" i="10"/>
  <c r="AF39" i="3"/>
  <c r="AF36" i="3"/>
  <c r="AG2" i="3"/>
  <c r="E54" i="5" s="1"/>
  <c r="AG15" i="3"/>
  <c r="AG12" i="3"/>
  <c r="AG21" i="3"/>
  <c r="AG25" i="3"/>
  <c r="AG38" i="3"/>
  <c r="AG14" i="3"/>
  <c r="AG11" i="3"/>
  <c r="AG20" i="3"/>
  <c r="AG13" i="3"/>
  <c r="AG23" i="3"/>
  <c r="AG16" i="3"/>
  <c r="AG17" i="3"/>
  <c r="AG18" i="3"/>
  <c r="AG22" i="3"/>
  <c r="AG19" i="3"/>
  <c r="AG10" i="3"/>
  <c r="AG26" i="3"/>
  <c r="AG27" i="3"/>
  <c r="AG35" i="3"/>
  <c r="AG32" i="3"/>
  <c r="AH1" i="3"/>
  <c r="AF33" i="3"/>
  <c r="AF44" i="3" l="1"/>
  <c r="C53" i="5" s="1"/>
  <c r="G53" i="5" s="1"/>
  <c r="H53" i="5" s="1"/>
  <c r="A58" i="5"/>
  <c r="K43" i="10"/>
  <c r="L42" i="10"/>
  <c r="AH2" i="3"/>
  <c r="E55" i="5" s="1"/>
  <c r="AH26" i="3"/>
  <c r="AH11" i="3"/>
  <c r="AH19" i="3"/>
  <c r="AH23" i="3"/>
  <c r="AH21" i="3"/>
  <c r="AH22" i="3"/>
  <c r="AH13" i="3"/>
  <c r="AH16" i="3"/>
  <c r="AH25" i="3"/>
  <c r="AH17" i="3"/>
  <c r="AH15" i="3"/>
  <c r="AH38" i="3"/>
  <c r="AH27" i="3"/>
  <c r="AH12" i="3"/>
  <c r="AH20" i="3"/>
  <c r="AH14" i="3"/>
  <c r="AH18" i="3"/>
  <c r="AH10" i="3"/>
  <c r="AH35" i="3"/>
  <c r="AH32" i="3"/>
  <c r="AG39" i="3"/>
  <c r="AG36" i="3"/>
  <c r="AI1" i="3"/>
  <c r="AG33" i="3"/>
  <c r="AG44" i="3" l="1"/>
  <c r="C54" i="5" s="1"/>
  <c r="G54" i="5" s="1"/>
  <c r="H54" i="5" s="1"/>
  <c r="A59" i="5"/>
  <c r="K44" i="10"/>
  <c r="L43" i="10"/>
  <c r="AI2" i="3"/>
  <c r="E56" i="5" s="1"/>
  <c r="AI13" i="3"/>
  <c r="AI19" i="3"/>
  <c r="AI12" i="3"/>
  <c r="AI18" i="3"/>
  <c r="AI11" i="3"/>
  <c r="AI15" i="3"/>
  <c r="AI20" i="3"/>
  <c r="AI25" i="3"/>
  <c r="AI10" i="3"/>
  <c r="AI21" i="3"/>
  <c r="AI14" i="3"/>
  <c r="AI23" i="3"/>
  <c r="AI38" i="3"/>
  <c r="AI17" i="3"/>
  <c r="AI26" i="3"/>
  <c r="AI27" i="3"/>
  <c r="AI35" i="3"/>
  <c r="AI16" i="3"/>
  <c r="AI22" i="3"/>
  <c r="AI32" i="3"/>
  <c r="AH39" i="3"/>
  <c r="AH36" i="3"/>
  <c r="AJ1" i="3"/>
  <c r="AH33" i="3"/>
  <c r="AH44" i="3" l="1"/>
  <c r="C55" i="5" s="1"/>
  <c r="G55" i="5" s="1"/>
  <c r="H55" i="5" s="1"/>
  <c r="A60" i="5"/>
  <c r="K45" i="10"/>
  <c r="L44" i="10"/>
  <c r="AJ2" i="3"/>
  <c r="E57" i="5" s="1"/>
  <c r="AJ13" i="3"/>
  <c r="AJ11" i="3"/>
  <c r="AJ15" i="3"/>
  <c r="AJ19" i="3"/>
  <c r="AJ16" i="3"/>
  <c r="AJ21" i="3"/>
  <c r="AJ26" i="3"/>
  <c r="AJ12" i="3"/>
  <c r="AJ25" i="3"/>
  <c r="AJ38" i="3"/>
  <c r="AJ17" i="3"/>
  <c r="AJ10" i="3"/>
  <c r="AJ23" i="3"/>
  <c r="AJ20" i="3"/>
  <c r="AJ18" i="3"/>
  <c r="AJ27" i="3"/>
  <c r="AJ14" i="3"/>
  <c r="AJ35" i="3"/>
  <c r="AJ22" i="3"/>
  <c r="AJ32" i="3"/>
  <c r="AI39" i="3"/>
  <c r="AI36" i="3"/>
  <c r="AK1" i="3"/>
  <c r="AI33" i="3"/>
  <c r="A61" i="5" l="1"/>
  <c r="AI44" i="3"/>
  <c r="C56" i="5" s="1"/>
  <c r="G56" i="5" s="1"/>
  <c r="H56" i="5" s="1"/>
  <c r="K46" i="10"/>
  <c r="L45" i="10"/>
  <c r="BG38" i="3"/>
  <c r="AJ39" i="3"/>
  <c r="BG39" i="3" s="1"/>
  <c r="AJ36" i="3"/>
  <c r="BG36" i="3" s="1"/>
  <c r="AK2" i="3"/>
  <c r="E58" i="5" s="1"/>
  <c r="AK13" i="3"/>
  <c r="BH13" i="3" s="1"/>
  <c r="AK15" i="3"/>
  <c r="BH15" i="3" s="1"/>
  <c r="AK18" i="3"/>
  <c r="BH18" i="3" s="1"/>
  <c r="AK22" i="3"/>
  <c r="BH22" i="3" s="1"/>
  <c r="AK27" i="3"/>
  <c r="BH27" i="3" s="1"/>
  <c r="AK11" i="3"/>
  <c r="BH11" i="3" s="1"/>
  <c r="AK19" i="3"/>
  <c r="BH19" i="3" s="1"/>
  <c r="AK17" i="3"/>
  <c r="BH17" i="3" s="1"/>
  <c r="AK21" i="3"/>
  <c r="BH21" i="3" s="1"/>
  <c r="AK25" i="3"/>
  <c r="BH25" i="3" s="1"/>
  <c r="AK10" i="3"/>
  <c r="AK20" i="3"/>
  <c r="BH20" i="3" s="1"/>
  <c r="AK14" i="3"/>
  <c r="BH14" i="3" s="1"/>
  <c r="AK35" i="3"/>
  <c r="BH35" i="3" s="1"/>
  <c r="AK23" i="3"/>
  <c r="BH23" i="3" s="1"/>
  <c r="AK38" i="3"/>
  <c r="AK26" i="3"/>
  <c r="BH26" i="3" s="1"/>
  <c r="AK12" i="3"/>
  <c r="BH12" i="3" s="1"/>
  <c r="AK16" i="3"/>
  <c r="BH16" i="3" s="1"/>
  <c r="AK32" i="3"/>
  <c r="BH32" i="3" s="1"/>
  <c r="AL1" i="3"/>
  <c r="AJ33" i="3"/>
  <c r="A62" i="5" l="1"/>
  <c r="AJ44" i="3"/>
  <c r="C57" i="5" s="1"/>
  <c r="G57" i="5" s="1"/>
  <c r="H57" i="5" s="1"/>
  <c r="K47" i="10"/>
  <c r="L46" i="10"/>
  <c r="BH38" i="3"/>
  <c r="AL2" i="3"/>
  <c r="E59" i="5" s="1"/>
  <c r="AL15" i="3"/>
  <c r="AL21" i="3"/>
  <c r="AL14" i="3"/>
  <c r="AL22" i="3"/>
  <c r="AL27" i="3"/>
  <c r="AL13" i="3"/>
  <c r="AL11" i="3"/>
  <c r="AL17" i="3"/>
  <c r="AL10" i="3"/>
  <c r="AL20" i="3"/>
  <c r="AL38" i="3"/>
  <c r="AL19" i="3"/>
  <c r="AL16" i="3"/>
  <c r="AL35" i="3"/>
  <c r="AL26" i="3"/>
  <c r="AL12" i="3"/>
  <c r="AL25" i="3"/>
  <c r="AL23" i="3"/>
  <c r="AL18" i="3"/>
  <c r="AL32" i="3"/>
  <c r="AK39" i="3"/>
  <c r="BH39" i="3" s="1"/>
  <c r="AK36" i="3"/>
  <c r="BH36" i="3" s="1"/>
  <c r="AM1" i="3"/>
  <c r="AK33" i="3"/>
  <c r="A63" i="5" l="1"/>
  <c r="K48" i="10"/>
  <c r="L47" i="10"/>
  <c r="AK44" i="3"/>
  <c r="C58" i="5" s="1"/>
  <c r="G58" i="5" s="1"/>
  <c r="H58" i="5" s="1"/>
  <c r="AM2" i="3"/>
  <c r="E60" i="5" s="1"/>
  <c r="AM26" i="3"/>
  <c r="AM19" i="3"/>
  <c r="AM23" i="3"/>
  <c r="AM38" i="3"/>
  <c r="AM14" i="3"/>
  <c r="AM27" i="3"/>
  <c r="AM16" i="3"/>
  <c r="AM17" i="3"/>
  <c r="AM15" i="3"/>
  <c r="AM12" i="3"/>
  <c r="AM21" i="3"/>
  <c r="AM11" i="3"/>
  <c r="AM20" i="3"/>
  <c r="AM25" i="3"/>
  <c r="AM22" i="3"/>
  <c r="AM10" i="3"/>
  <c r="AM35" i="3"/>
  <c r="AM18" i="3"/>
  <c r="AM13" i="3"/>
  <c r="AM32" i="3"/>
  <c r="AL39" i="3"/>
  <c r="AL36" i="3"/>
  <c r="AN1" i="3"/>
  <c r="AL33" i="3"/>
  <c r="AL44" i="3" l="1"/>
  <c r="C59" i="5" s="1"/>
  <c r="G59" i="5" s="1"/>
  <c r="H59" i="5" s="1"/>
  <c r="A64" i="5"/>
  <c r="K49" i="10"/>
  <c r="L48" i="10"/>
  <c r="AM39" i="3"/>
  <c r="AM36" i="3"/>
  <c r="AN2" i="3"/>
  <c r="E61" i="5" s="1"/>
  <c r="AN20" i="3"/>
  <c r="AN10" i="3"/>
  <c r="AN27" i="3"/>
  <c r="AN26" i="3"/>
  <c r="AN15" i="3"/>
  <c r="AN12" i="3"/>
  <c r="AN16" i="3"/>
  <c r="AN38" i="3"/>
  <c r="AN17" i="3"/>
  <c r="AN13" i="3"/>
  <c r="AN19" i="3"/>
  <c r="AN21" i="3"/>
  <c r="AN25" i="3"/>
  <c r="AN14" i="3"/>
  <c r="AN18" i="3"/>
  <c r="AN11" i="3"/>
  <c r="AN22" i="3"/>
  <c r="AN35" i="3"/>
  <c r="AN23" i="3"/>
  <c r="AN32" i="3"/>
  <c r="AM33" i="3"/>
  <c r="AO1" i="3"/>
  <c r="AM44" i="3" l="1"/>
  <c r="C60" i="5" s="1"/>
  <c r="G60" i="5" s="1"/>
  <c r="H60" i="5" s="1"/>
  <c r="A65" i="5"/>
  <c r="K50" i="10"/>
  <c r="L49" i="10"/>
  <c r="AN39" i="3"/>
  <c r="AN36" i="3"/>
  <c r="AO2" i="3"/>
  <c r="E62" i="5" s="1"/>
  <c r="AO26" i="3"/>
  <c r="AO12" i="3"/>
  <c r="AO25" i="3"/>
  <c r="AO38" i="3"/>
  <c r="AO21" i="3"/>
  <c r="AO14" i="3"/>
  <c r="AO13" i="3"/>
  <c r="AO23" i="3"/>
  <c r="AO19" i="3"/>
  <c r="AO11" i="3"/>
  <c r="AO15" i="3"/>
  <c r="AO10" i="3"/>
  <c r="AO18" i="3"/>
  <c r="AO22" i="3"/>
  <c r="AO20" i="3"/>
  <c r="AO35" i="3"/>
  <c r="AO16" i="3"/>
  <c r="AO27" i="3"/>
  <c r="AO17" i="3"/>
  <c r="AO32" i="3"/>
  <c r="AP1" i="3"/>
  <c r="AN33" i="3"/>
  <c r="AN44" i="3" l="1"/>
  <c r="C61" i="5" s="1"/>
  <c r="G61" i="5" s="1"/>
  <c r="H61" i="5" s="1"/>
  <c r="A66" i="5"/>
  <c r="K51" i="10"/>
  <c r="L50" i="10"/>
  <c r="AP2" i="3"/>
  <c r="E63" i="5" s="1"/>
  <c r="AP11" i="3"/>
  <c r="AP14" i="3"/>
  <c r="AP22" i="3"/>
  <c r="AP26" i="3"/>
  <c r="AP19" i="3"/>
  <c r="AP23" i="3"/>
  <c r="AP12" i="3"/>
  <c r="AP20" i="3"/>
  <c r="AP38" i="3"/>
  <c r="AP17" i="3"/>
  <c r="AP13" i="3"/>
  <c r="AP10" i="3"/>
  <c r="AP25" i="3"/>
  <c r="AP21" i="3"/>
  <c r="AP27" i="3"/>
  <c r="AP16" i="3"/>
  <c r="AP18" i="3"/>
  <c r="AP15" i="3"/>
  <c r="AP35" i="3"/>
  <c r="AP32" i="3"/>
  <c r="AO39" i="3"/>
  <c r="AO44" i="3" s="1"/>
  <c r="C62" i="5" s="1"/>
  <c r="G62" i="5" s="1"/>
  <c r="AO36" i="3"/>
  <c r="AQ1" i="3"/>
  <c r="AO33" i="3"/>
  <c r="A67" i="5" l="1"/>
  <c r="H62" i="5"/>
  <c r="K52" i="10"/>
  <c r="L51" i="10"/>
  <c r="AP39" i="3"/>
  <c r="AP36" i="3"/>
  <c r="AQ2" i="3"/>
  <c r="E64" i="5" s="1"/>
  <c r="AQ11" i="3"/>
  <c r="AQ20" i="3"/>
  <c r="AQ25" i="3"/>
  <c r="AQ10" i="3"/>
  <c r="AQ18" i="3"/>
  <c r="AQ12" i="3"/>
  <c r="AQ15" i="3"/>
  <c r="AQ23" i="3"/>
  <c r="AQ16" i="3"/>
  <c r="AQ26" i="3"/>
  <c r="AQ19" i="3"/>
  <c r="AQ14" i="3"/>
  <c r="AQ35" i="3"/>
  <c r="AQ38" i="3"/>
  <c r="AQ21" i="3"/>
  <c r="AQ27" i="3"/>
  <c r="AQ13" i="3"/>
  <c r="AQ17" i="3"/>
  <c r="AQ22" i="3"/>
  <c r="AQ32" i="3"/>
  <c r="AR1" i="3"/>
  <c r="AP33" i="3"/>
  <c r="AP44" i="3" l="1"/>
  <c r="C63" i="5" s="1"/>
  <c r="G63" i="5" s="1"/>
  <c r="H63" i="5" s="1"/>
  <c r="A68" i="5"/>
  <c r="K53" i="10"/>
  <c r="L52" i="10"/>
  <c r="AR2" i="3"/>
  <c r="E65" i="5" s="1"/>
  <c r="AR13" i="3"/>
  <c r="AR11" i="3"/>
  <c r="AR19" i="3"/>
  <c r="AR16" i="3"/>
  <c r="AR21" i="3"/>
  <c r="AR18" i="3"/>
  <c r="AR15" i="3"/>
  <c r="AR12" i="3"/>
  <c r="AR20" i="3"/>
  <c r="AR25" i="3"/>
  <c r="AR38" i="3"/>
  <c r="AR26" i="3"/>
  <c r="AR17" i="3"/>
  <c r="AR14" i="3"/>
  <c r="AR23" i="3"/>
  <c r="AR27" i="3"/>
  <c r="AR35" i="3"/>
  <c r="AR10" i="3"/>
  <c r="AR22" i="3"/>
  <c r="AR32" i="3"/>
  <c r="AQ39" i="3"/>
  <c r="AQ44" i="3" s="1"/>
  <c r="C64" i="5" s="1"/>
  <c r="G64" i="5" s="1"/>
  <c r="AQ36" i="3"/>
  <c r="AS1" i="3"/>
  <c r="AQ33" i="3"/>
  <c r="H64" i="5" l="1"/>
  <c r="A69" i="5"/>
  <c r="K54" i="10"/>
  <c r="L53" i="10"/>
  <c r="AR39" i="3"/>
  <c r="AR36" i="3"/>
  <c r="AS2" i="3"/>
  <c r="E66" i="5" s="1"/>
  <c r="AS13" i="3"/>
  <c r="AS11" i="3"/>
  <c r="AS16" i="3"/>
  <c r="AS26" i="3"/>
  <c r="AS19" i="3"/>
  <c r="AS23" i="3"/>
  <c r="AS21" i="3"/>
  <c r="AS20" i="3"/>
  <c r="AS38" i="3"/>
  <c r="AS25" i="3"/>
  <c r="AS17" i="3"/>
  <c r="AS12" i="3"/>
  <c r="AS27" i="3"/>
  <c r="AS14" i="3"/>
  <c r="AS15" i="3"/>
  <c r="AS10" i="3"/>
  <c r="AS18" i="3"/>
  <c r="AS22" i="3"/>
  <c r="AS35" i="3"/>
  <c r="AS32" i="3"/>
  <c r="AT1" i="3"/>
  <c r="AR33" i="3"/>
  <c r="AR44" i="3" l="1"/>
  <c r="C65" i="5" s="1"/>
  <c r="G65" i="5" s="1"/>
  <c r="H65" i="5" s="1"/>
  <c r="A70" i="5"/>
  <c r="K55" i="10"/>
  <c r="L54" i="10"/>
  <c r="AT2" i="3"/>
  <c r="E67" i="5" s="1"/>
  <c r="AT16" i="3"/>
  <c r="AT20" i="3"/>
  <c r="AT38" i="3"/>
  <c r="AT10" i="3"/>
  <c r="AT22" i="3"/>
  <c r="AT15" i="3"/>
  <c r="AT21" i="3"/>
  <c r="AT26" i="3"/>
  <c r="AT19" i="3"/>
  <c r="AT12" i="3"/>
  <c r="AT13" i="3"/>
  <c r="AT11" i="3"/>
  <c r="AT23" i="3"/>
  <c r="AT25" i="3"/>
  <c r="AT35" i="3"/>
  <c r="AT17" i="3"/>
  <c r="AT14" i="3"/>
  <c r="AT27" i="3"/>
  <c r="AT18" i="3"/>
  <c r="AT32" i="3"/>
  <c r="AS39" i="3"/>
  <c r="AS36" i="3"/>
  <c r="AU1" i="3"/>
  <c r="AS33" i="3"/>
  <c r="AS44" i="3" l="1"/>
  <c r="C66" i="5" s="1"/>
  <c r="G66" i="5" s="1"/>
  <c r="H66" i="5" s="1"/>
  <c r="A71" i="5"/>
  <c r="K56" i="10"/>
  <c r="L55" i="10"/>
  <c r="AT33" i="3"/>
  <c r="AT39" i="3"/>
  <c r="AT36" i="3"/>
  <c r="AU2" i="3"/>
  <c r="E68" i="5" s="1"/>
  <c r="AU26" i="3"/>
  <c r="AU15" i="3"/>
  <c r="AU16" i="3"/>
  <c r="AU17" i="3"/>
  <c r="AU21" i="3"/>
  <c r="AU13" i="3"/>
  <c r="AU38" i="3"/>
  <c r="AU19" i="3"/>
  <c r="AU23" i="3"/>
  <c r="AU14" i="3"/>
  <c r="AU11" i="3"/>
  <c r="AU12" i="3"/>
  <c r="AU22" i="3"/>
  <c r="AU25" i="3"/>
  <c r="AU10" i="3"/>
  <c r="AU18" i="3"/>
  <c r="AU35" i="3"/>
  <c r="AU27" i="3"/>
  <c r="AU20" i="3"/>
  <c r="AU32" i="3"/>
  <c r="AV1" i="3"/>
  <c r="AT44" i="3" l="1"/>
  <c r="C67" i="5" s="1"/>
  <c r="G67" i="5" s="1"/>
  <c r="H67" i="5" s="1"/>
  <c r="A72" i="5"/>
  <c r="K57" i="10"/>
  <c r="L56" i="10"/>
  <c r="AV2" i="3"/>
  <c r="E69" i="5" s="1"/>
  <c r="AV19" i="3"/>
  <c r="AV23" i="3"/>
  <c r="AV25" i="3"/>
  <c r="AV17" i="3"/>
  <c r="AV26" i="3"/>
  <c r="AV15" i="3"/>
  <c r="AV10" i="3"/>
  <c r="AV38" i="3"/>
  <c r="AV13" i="3"/>
  <c r="AV21" i="3"/>
  <c r="AV14" i="3"/>
  <c r="AV11" i="3"/>
  <c r="AV18" i="3"/>
  <c r="AV35" i="3"/>
  <c r="AV22" i="3"/>
  <c r="AV16" i="3"/>
  <c r="AV12" i="3"/>
  <c r="AV20" i="3"/>
  <c r="AV27" i="3"/>
  <c r="AV32" i="3"/>
  <c r="AU39" i="3"/>
  <c r="AU36" i="3"/>
  <c r="AU33" i="3"/>
  <c r="AW1" i="3"/>
  <c r="A73" i="5" l="1"/>
  <c r="AU44" i="3"/>
  <c r="C68" i="5" s="1"/>
  <c r="G68" i="5" s="1"/>
  <c r="H68" i="5" s="1"/>
  <c r="K58" i="10"/>
  <c r="L57" i="10"/>
  <c r="AW2" i="3"/>
  <c r="E70" i="5" s="1"/>
  <c r="AW13" i="3"/>
  <c r="AW26" i="3"/>
  <c r="AW12" i="3"/>
  <c r="AW20" i="3"/>
  <c r="AW17" i="3"/>
  <c r="AW23" i="3"/>
  <c r="AW16" i="3"/>
  <c r="AW25" i="3"/>
  <c r="AW38" i="3"/>
  <c r="AW10" i="3"/>
  <c r="AW14" i="3"/>
  <c r="AW11" i="3"/>
  <c r="AW21" i="3"/>
  <c r="AW15" i="3"/>
  <c r="AW19" i="3"/>
  <c r="AW18" i="3"/>
  <c r="AW27" i="3"/>
  <c r="AW35" i="3"/>
  <c r="AW22" i="3"/>
  <c r="AW32" i="3"/>
  <c r="AV39" i="3"/>
  <c r="AV36" i="3"/>
  <c r="AX1" i="3"/>
  <c r="AV33" i="3"/>
  <c r="AV44" i="3" l="1"/>
  <c r="C69" i="5" s="1"/>
  <c r="G69" i="5" s="1"/>
  <c r="H69" i="5" s="1"/>
  <c r="A74" i="5"/>
  <c r="K59" i="10"/>
  <c r="L58" i="10"/>
  <c r="AW33" i="3"/>
  <c r="AW39" i="3"/>
  <c r="AW36" i="3"/>
  <c r="AX2" i="3"/>
  <c r="E71" i="5" s="1"/>
  <c r="AX11" i="3"/>
  <c r="AX19" i="3"/>
  <c r="AX23" i="3"/>
  <c r="AX12" i="3"/>
  <c r="AX25" i="3"/>
  <c r="AX20" i="3"/>
  <c r="AX16" i="3"/>
  <c r="AX21" i="3"/>
  <c r="AX10" i="3"/>
  <c r="AX18" i="3"/>
  <c r="AX15" i="3"/>
  <c r="AX38" i="3"/>
  <c r="AX14" i="3"/>
  <c r="AX13" i="3"/>
  <c r="AX27" i="3"/>
  <c r="AX35" i="3"/>
  <c r="AX17" i="3"/>
  <c r="AX22" i="3"/>
  <c r="AX26" i="3"/>
  <c r="AX32" i="3"/>
  <c r="AY1" i="3"/>
  <c r="AW44" i="3" l="1"/>
  <c r="C70" i="5" s="1"/>
  <c r="G70" i="5" s="1"/>
  <c r="H70" i="5" s="1"/>
  <c r="A75" i="5"/>
  <c r="K60" i="10"/>
  <c r="L59" i="10"/>
  <c r="AY2" i="3"/>
  <c r="E72" i="5" s="1"/>
  <c r="AY26" i="3"/>
  <c r="AY12" i="3"/>
  <c r="AY17" i="3"/>
  <c r="AY14" i="3"/>
  <c r="AY22" i="3"/>
  <c r="AY13" i="3"/>
  <c r="AY15" i="3"/>
  <c r="AY23" i="3"/>
  <c r="AY20" i="3"/>
  <c r="AY25" i="3"/>
  <c r="AY10" i="3"/>
  <c r="AY19" i="3"/>
  <c r="AY16" i="3"/>
  <c r="AY21" i="3"/>
  <c r="AY27" i="3"/>
  <c r="AY35" i="3"/>
  <c r="AY11" i="3"/>
  <c r="AY38" i="3"/>
  <c r="AY18" i="3"/>
  <c r="AY32" i="3"/>
  <c r="AX39" i="3"/>
  <c r="AX36" i="3"/>
  <c r="AZ1" i="3"/>
  <c r="AX33" i="3"/>
  <c r="A76" i="5" l="1"/>
  <c r="AX44" i="3"/>
  <c r="C71" i="5" s="1"/>
  <c r="G71" i="5" s="1"/>
  <c r="H71" i="5" s="1"/>
  <c r="K61" i="10"/>
  <c r="L60" i="10"/>
  <c r="AY39" i="3"/>
  <c r="AY36" i="3"/>
  <c r="AZ2" i="3"/>
  <c r="E73" i="5" s="1"/>
  <c r="AZ23" i="3"/>
  <c r="AZ38" i="3"/>
  <c r="AZ27" i="3"/>
  <c r="AZ13" i="3"/>
  <c r="AZ19" i="3"/>
  <c r="AZ12" i="3"/>
  <c r="AZ20" i="3"/>
  <c r="AZ21" i="3"/>
  <c r="AZ14" i="3"/>
  <c r="AZ15" i="3"/>
  <c r="AZ11" i="3"/>
  <c r="AZ25" i="3"/>
  <c r="AZ16" i="3"/>
  <c r="AZ17" i="3"/>
  <c r="AZ10" i="3"/>
  <c r="AZ22" i="3"/>
  <c r="AZ35" i="3"/>
  <c r="AZ26" i="3"/>
  <c r="AZ18" i="3"/>
  <c r="AZ32" i="3"/>
  <c r="BA1" i="3"/>
  <c r="AY33" i="3"/>
  <c r="AY44" i="3" l="1"/>
  <c r="C72" i="5" s="1"/>
  <c r="G72" i="5" s="1"/>
  <c r="H72" i="5" s="1"/>
  <c r="A77" i="5"/>
  <c r="K62" i="10"/>
  <c r="L61" i="10"/>
  <c r="BA2" i="3"/>
  <c r="E74" i="5" s="1"/>
  <c r="BA23" i="3"/>
  <c r="BA12" i="3"/>
  <c r="BA20" i="3"/>
  <c r="BA17" i="3"/>
  <c r="BA10" i="3"/>
  <c r="BA18" i="3"/>
  <c r="BA22" i="3"/>
  <c r="BA27" i="3"/>
  <c r="BA26" i="3"/>
  <c r="BA11" i="3"/>
  <c r="BA14" i="3"/>
  <c r="BA13" i="3"/>
  <c r="BA15" i="3"/>
  <c r="BA38" i="3"/>
  <c r="BA16" i="3"/>
  <c r="BA21" i="3"/>
  <c r="BA19" i="3"/>
  <c r="BA25" i="3"/>
  <c r="BA35" i="3"/>
  <c r="BA32" i="3"/>
  <c r="AZ36" i="3"/>
  <c r="AZ39" i="3"/>
  <c r="BB1" i="3"/>
  <c r="AZ33" i="3"/>
  <c r="AZ44" i="3" l="1"/>
  <c r="C73" i="5" s="1"/>
  <c r="G73" i="5" s="1"/>
  <c r="H73" i="5" s="1"/>
  <c r="BA33" i="3"/>
  <c r="A78" i="5"/>
  <c r="K63" i="10"/>
  <c r="L62" i="10"/>
  <c r="BA39" i="3"/>
  <c r="BA36" i="3"/>
  <c r="BB2" i="3"/>
  <c r="E75" i="5" s="1"/>
  <c r="BB16" i="3"/>
  <c r="BB14" i="3"/>
  <c r="BB27" i="3"/>
  <c r="BB25" i="3"/>
  <c r="BB21" i="3"/>
  <c r="BB10" i="3"/>
  <c r="BB11" i="3"/>
  <c r="BB15" i="3"/>
  <c r="BB23" i="3"/>
  <c r="BB19" i="3"/>
  <c r="BB12" i="3"/>
  <c r="BB20" i="3"/>
  <c r="BB13" i="3"/>
  <c r="BB17" i="3"/>
  <c r="BB22" i="3"/>
  <c r="BB18" i="3"/>
  <c r="BB26" i="3"/>
  <c r="BB38" i="3"/>
  <c r="BB35" i="3"/>
  <c r="BB32" i="3"/>
  <c r="BC1" i="3"/>
  <c r="BA44" i="3" l="1"/>
  <c r="C74" i="5" s="1"/>
  <c r="G74" i="5" s="1"/>
  <c r="H74" i="5" s="1"/>
  <c r="K64" i="10"/>
  <c r="L63" i="10"/>
  <c r="BC2" i="3"/>
  <c r="E76" i="5" s="1"/>
  <c r="BC15" i="3"/>
  <c r="BC38" i="3"/>
  <c r="BC21" i="3"/>
  <c r="BC22" i="3"/>
  <c r="BC27" i="3"/>
  <c r="BC13" i="3"/>
  <c r="BC11" i="3"/>
  <c r="BC16" i="3"/>
  <c r="BC10" i="3"/>
  <c r="BC17" i="3"/>
  <c r="BC35" i="3"/>
  <c r="BC19" i="3"/>
  <c r="BC23" i="3"/>
  <c r="BC14" i="3"/>
  <c r="BC26" i="3"/>
  <c r="BC12" i="3"/>
  <c r="BC20" i="3"/>
  <c r="BC18" i="3"/>
  <c r="BC25" i="3"/>
  <c r="BC32" i="3"/>
  <c r="BB39" i="3"/>
  <c r="BB36" i="3"/>
  <c r="BD1" i="3"/>
  <c r="BB33" i="3"/>
  <c r="BB44" i="3" l="1"/>
  <c r="C75" i="5" s="1"/>
  <c r="G75" i="5" s="1"/>
  <c r="H75" i="5" s="1"/>
  <c r="K65" i="10"/>
  <c r="L64" i="10"/>
  <c r="BC39" i="3"/>
  <c r="BC36" i="3"/>
  <c r="BD2" i="3"/>
  <c r="E77" i="5" s="1"/>
  <c r="BD26" i="3"/>
  <c r="BD15" i="3"/>
  <c r="BD19" i="3"/>
  <c r="BD10" i="3"/>
  <c r="BG10" i="3" s="1"/>
  <c r="BG31" i="3" s="1"/>
  <c r="BD18" i="3"/>
  <c r="BD11" i="3"/>
  <c r="BD16" i="3"/>
  <c r="BD17" i="3"/>
  <c r="BD12" i="3"/>
  <c r="BD20" i="3"/>
  <c r="BD22" i="3"/>
  <c r="BD14" i="3"/>
  <c r="BD23" i="3"/>
  <c r="BD25" i="3"/>
  <c r="BD38" i="3"/>
  <c r="BD21" i="3"/>
  <c r="BD27" i="3"/>
  <c r="BD13" i="3"/>
  <c r="BD35" i="3"/>
  <c r="BD32" i="3"/>
  <c r="BE1" i="3"/>
  <c r="BC33" i="3"/>
  <c r="BC44" i="3" l="1"/>
  <c r="C76" i="5" s="1"/>
  <c r="G76" i="5" s="1"/>
  <c r="H76" i="5" s="1"/>
  <c r="K66" i="10"/>
  <c r="L65" i="10"/>
  <c r="BD33" i="3"/>
  <c r="BE2" i="3"/>
  <c r="E78" i="5" s="1"/>
  <c r="BE15" i="3"/>
  <c r="BI15" i="3" s="1"/>
  <c r="BE19" i="3"/>
  <c r="BI19" i="3" s="1"/>
  <c r="BE25" i="3"/>
  <c r="BI25" i="3" s="1"/>
  <c r="BE38" i="3"/>
  <c r="BE17" i="3"/>
  <c r="BI17" i="3" s="1"/>
  <c r="BE14" i="3"/>
  <c r="BI14" i="3" s="1"/>
  <c r="BE16" i="3"/>
  <c r="BI16" i="3" s="1"/>
  <c r="BE10" i="3"/>
  <c r="BH10" i="3" s="1"/>
  <c r="BH31" i="3" s="1"/>
  <c r="BE11" i="3"/>
  <c r="BI11" i="3" s="1"/>
  <c r="BE13" i="3"/>
  <c r="BI13" i="3" s="1"/>
  <c r="BE26" i="3"/>
  <c r="BI26" i="3" s="1"/>
  <c r="BE23" i="3"/>
  <c r="BI23" i="3" s="1"/>
  <c r="BE21" i="3"/>
  <c r="BI21" i="3" s="1"/>
  <c r="BE18" i="3"/>
  <c r="BI18" i="3" s="1"/>
  <c r="BE22" i="3"/>
  <c r="BI22" i="3" s="1"/>
  <c r="BE12" i="3"/>
  <c r="BI12" i="3" s="1"/>
  <c r="BE27" i="3"/>
  <c r="BI27" i="3" s="1"/>
  <c r="BE20" i="3"/>
  <c r="BI20" i="3" s="1"/>
  <c r="BE35" i="3"/>
  <c r="BI35" i="3" s="1"/>
  <c r="BE32" i="3"/>
  <c r="BI32" i="3" s="1"/>
  <c r="D25" i="4" s="1"/>
  <c r="E25" i="4" s="1"/>
  <c r="BD39" i="3"/>
  <c r="BD44" i="3" s="1"/>
  <c r="C77" i="5" s="1"/>
  <c r="G77" i="5" s="1"/>
  <c r="BD36" i="3"/>
  <c r="BI10" i="3"/>
  <c r="H77" i="5" l="1"/>
  <c r="K67" i="10"/>
  <c r="L66" i="10"/>
  <c r="BI38" i="3"/>
  <c r="B5" i="4"/>
  <c r="D26" i="4" s="1"/>
  <c r="E26" i="4" s="1"/>
  <c r="BE39" i="3"/>
  <c r="BI39" i="3" s="1"/>
  <c r="BN8" i="3" s="1"/>
  <c r="BE36" i="3"/>
  <c r="BI36" i="3" s="1"/>
  <c r="BE33" i="3"/>
  <c r="BI31" i="3"/>
  <c r="BN5" i="3"/>
  <c r="K68" i="10" l="1"/>
  <c r="L67" i="10"/>
  <c r="BE44" i="3"/>
  <c r="C78" i="5" s="1"/>
  <c r="G78" i="5" s="1"/>
  <c r="H78" i="5" s="1"/>
  <c r="D5" i="4"/>
  <c r="B14" i="4"/>
  <c r="D14" i="4" s="1"/>
  <c r="D28" i="4" s="1"/>
  <c r="E28" i="4" s="1"/>
  <c r="F28" i="4" s="1"/>
  <c r="B11" i="4"/>
  <c r="D11" i="4" s="1"/>
  <c r="D27" i="4" s="1"/>
  <c r="E27" i="4" s="1"/>
  <c r="F27" i="4" s="1"/>
  <c r="F26" i="4"/>
  <c r="BN11" i="3"/>
  <c r="K69" i="10" l="1"/>
  <c r="L68" i="10"/>
  <c r="D19" i="4"/>
  <c r="E14" i="4" s="1"/>
  <c r="F25" i="4"/>
  <c r="E30" i="4"/>
  <c r="D30" i="4"/>
  <c r="K70" i="10" l="1"/>
  <c r="L69" i="10"/>
  <c r="E5" i="4"/>
  <c r="E11" i="4"/>
  <c r="E17" i="4"/>
  <c r="K71" i="10" l="1"/>
  <c r="L70" i="10"/>
  <c r="K72" i="10" l="1"/>
  <c r="L71" i="10"/>
  <c r="K73" i="10" l="1"/>
  <c r="L72" i="10"/>
  <c r="K74" i="10" l="1"/>
  <c r="L73" i="10"/>
  <c r="K75" i="10" l="1"/>
  <c r="L74" i="10"/>
  <c r="K76" i="10" l="1"/>
  <c r="L75" i="10"/>
  <c r="K77" i="10" l="1"/>
  <c r="L76" i="10"/>
  <c r="K78" i="10" l="1"/>
  <c r="L77" i="10"/>
  <c r="K79" i="10" l="1"/>
  <c r="L78" i="10"/>
  <c r="K80" i="10" l="1"/>
  <c r="L79" i="10"/>
  <c r="K81" i="10" l="1"/>
  <c r="L80" i="10"/>
  <c r="K82" i="10" l="1"/>
  <c r="L81" i="10"/>
  <c r="K83" i="10" l="1"/>
  <c r="L82" i="10"/>
  <c r="K84" i="10" l="1"/>
  <c r="L83" i="10"/>
  <c r="K85" i="10" l="1"/>
  <c r="L84" i="10"/>
  <c r="K86" i="10" l="1"/>
  <c r="L85" i="10"/>
  <c r="K87" i="10" l="1"/>
  <c r="L86" i="10"/>
  <c r="K88" i="10" l="1"/>
  <c r="L87" i="10"/>
  <c r="K89" i="10" l="1"/>
  <c r="L88" i="10"/>
  <c r="K90" i="10" l="1"/>
  <c r="L89" i="10"/>
  <c r="K91" i="10" l="1"/>
  <c r="L90" i="10"/>
  <c r="K92" i="10" l="1"/>
  <c r="L91" i="10"/>
  <c r="K93" i="10" l="1"/>
  <c r="L92" i="10"/>
  <c r="K94" i="10" l="1"/>
  <c r="L93" i="10"/>
  <c r="K95" i="10" l="1"/>
  <c r="L94" i="10"/>
  <c r="K96" i="10" l="1"/>
  <c r="L95" i="10"/>
  <c r="K97" i="10" l="1"/>
  <c r="L96" i="10"/>
  <c r="K98" i="10" l="1"/>
  <c r="L97" i="10"/>
  <c r="K99" i="10" l="1"/>
  <c r="L98" i="10"/>
  <c r="K100" i="10" l="1"/>
  <c r="L99" i="10"/>
  <c r="K101" i="10" l="1"/>
  <c r="L100" i="10"/>
  <c r="K102" i="10" l="1"/>
  <c r="L101" i="10"/>
  <c r="K103" i="10" l="1"/>
  <c r="L102" i="10"/>
  <c r="K104" i="10" l="1"/>
  <c r="L103" i="10"/>
  <c r="K105" i="10" l="1"/>
  <c r="L104" i="10"/>
  <c r="K106" i="10" l="1"/>
  <c r="L105" i="10"/>
  <c r="K107" i="10" l="1"/>
  <c r="L106" i="10"/>
  <c r="K108" i="10" l="1"/>
  <c r="L107" i="10"/>
  <c r="K109" i="10" l="1"/>
  <c r="L108" i="10"/>
  <c r="K110" i="10" l="1"/>
  <c r="L109" i="10"/>
  <c r="K111" i="10" l="1"/>
  <c r="L110" i="10"/>
  <c r="K112" i="10" l="1"/>
  <c r="L111" i="10"/>
  <c r="K113" i="10" l="1"/>
  <c r="L112" i="10"/>
  <c r="K114" i="10" l="1"/>
  <c r="L114" i="10" s="1"/>
  <c r="L113" i="10"/>
</calcChain>
</file>

<file path=xl/comments1.xml><?xml version="1.0" encoding="utf-8"?>
<comments xmlns="http://schemas.openxmlformats.org/spreadsheetml/2006/main">
  <authors>
    <author>g38318</author>
  </authors>
  <commentList>
    <comment ref="M10" authorId="0" guid="{3AC14302-B5CA-4945-9E00-24131D409B16}">
      <text>
        <r>
          <rPr>
            <b/>
            <sz val="20"/>
            <color indexed="81"/>
            <rFont val="Tahoma"/>
            <family val="2"/>
          </rPr>
          <t>Introduce in this Excel sheet all information relatd to the differnt percentag used to calculate the evloution of th prices and costs during th calulation period.
These rates ar considered as the average on the calculation period.
For demolition costs 2 values can be used depending on the difficulties for desconstruction or used of sepecific matrrials with costly deconstruction process</t>
        </r>
      </text>
    </comment>
  </commentList>
</comments>
</file>

<file path=xl/comments2.xml><?xml version="1.0" encoding="utf-8"?>
<comments xmlns="http://schemas.openxmlformats.org/spreadsheetml/2006/main">
  <authors>
    <author>g38318</author>
    <author>Jana Bendžalová</author>
  </authors>
  <commentList>
    <comment ref="B2" authorId="0" guid="{C6D7B733-B03A-402A-9C6F-ABCB81640FB4}">
      <text>
        <r>
          <rPr>
            <b/>
            <sz val="9"/>
            <color indexed="81"/>
            <rFont val="Tahoma"/>
            <family val="2"/>
          </rPr>
          <t xml:space="preserve">Column dscribing th caztgory of item or costs catgories.
To create a new category insert a line then use 'copy' and 'paste' 
</t>
        </r>
      </text>
    </comment>
    <comment ref="D2" authorId="0" guid="{6BDA790C-D2CA-46A7-A675-0E895545FE31}">
      <text>
        <r>
          <rPr>
            <sz val="9"/>
            <color indexed="81"/>
            <rFont val="Tahoma"/>
            <family val="2"/>
          </rPr>
          <t xml:space="preserve">Introduc lifetime for the different costs categoris bazsed on information display in the following excel sheet.
</t>
        </r>
      </text>
    </comment>
    <comment ref="A9" authorId="1" guid="{A069E1FE-56A5-41FD-A632-200FD4865A53}">
      <text>
        <r>
          <rPr>
            <b/>
            <sz val="9"/>
            <color indexed="81"/>
            <rFont val="Tahoma"/>
            <family val="2"/>
            <charset val="238"/>
          </rPr>
          <t>Jana Bendžalová:</t>
        </r>
        <r>
          <rPr>
            <sz val="9"/>
            <color indexed="81"/>
            <rFont val="Tahoma"/>
            <family val="2"/>
            <charset val="238"/>
          </rPr>
          <t xml:space="preserve">
Better would be to say Imvestment costs</t>
        </r>
      </text>
    </comment>
    <comment ref="B10" authorId="1" guid="{81C08D91-3FD0-444A-97B6-B086CFA55B32}">
      <text>
        <r>
          <rPr>
            <b/>
            <sz val="9"/>
            <color indexed="81"/>
            <rFont val="Tahoma"/>
            <family val="2"/>
            <charset val="238"/>
          </rPr>
          <t>Jana Bendžalová:</t>
        </r>
        <r>
          <rPr>
            <sz val="9"/>
            <color indexed="81"/>
            <rFont val="Tahoma"/>
            <family val="2"/>
            <charset val="238"/>
          </rPr>
          <t xml:space="preserve">
</t>
        </r>
      </text>
    </comment>
    <comment ref="B17" authorId="1" guid="{7FD7CCD0-0473-4914-A68D-13B70392F1EB}">
      <text>
        <r>
          <rPr>
            <b/>
            <sz val="9"/>
            <color indexed="81"/>
            <rFont val="Tahoma"/>
            <family val="2"/>
            <charset val="238"/>
          </rPr>
          <t>Jana Bendžalová:</t>
        </r>
        <r>
          <rPr>
            <sz val="9"/>
            <color indexed="81"/>
            <rFont val="Tahoma"/>
            <family val="2"/>
            <charset val="238"/>
          </rPr>
          <t xml:space="preserve">
these are not important</t>
        </r>
      </text>
    </comment>
    <comment ref="B23" authorId="1" guid="{6CAE1CFF-9E75-4184-B88E-636FA74847FC}">
      <text>
        <r>
          <rPr>
            <b/>
            <sz val="9"/>
            <color indexed="81"/>
            <rFont val="Tahoma"/>
            <family val="2"/>
            <charset val="238"/>
          </rPr>
          <t>Jana Bendžalová:</t>
        </r>
        <r>
          <rPr>
            <sz val="9"/>
            <color indexed="81"/>
            <rFont val="Tahoma"/>
            <family val="2"/>
            <charset val="238"/>
          </rPr>
          <t xml:space="preserve">
what are these works?</t>
        </r>
      </text>
    </comment>
    <comment ref="B26" authorId="1" guid="{7E9A32C1-904A-4EC8-A5EE-3A732CFC1B88}">
      <text>
        <r>
          <rPr>
            <b/>
            <sz val="9"/>
            <color indexed="81"/>
            <rFont val="Tahoma"/>
            <family val="2"/>
            <charset val="238"/>
          </rPr>
          <t>Jana Bendžalová:</t>
        </r>
        <r>
          <rPr>
            <sz val="9"/>
            <color indexed="81"/>
            <rFont val="Tahoma"/>
            <family val="2"/>
            <charset val="238"/>
          </rPr>
          <t xml:space="preserve">
is this important?</t>
        </r>
      </text>
    </comment>
    <comment ref="B28" authorId="1" guid="{B1D67832-C4A1-45A9-8289-CA39A413B47B}">
      <text>
        <r>
          <rPr>
            <b/>
            <sz val="9"/>
            <color indexed="81"/>
            <rFont val="Tahoma"/>
            <family val="2"/>
            <charset val="238"/>
          </rPr>
          <t>Jana Bendžalová:</t>
        </r>
        <r>
          <rPr>
            <sz val="9"/>
            <color indexed="81"/>
            <rFont val="Tahoma"/>
            <family val="2"/>
            <charset val="238"/>
          </rPr>
          <t xml:space="preserve">
These costs are usually in price of service or work e.g. in price of additional insulation.</t>
        </r>
      </text>
    </comment>
    <comment ref="A35" authorId="1" guid="{FCE362B9-D141-42B9-890B-09055B4B5A89}">
      <text>
        <r>
          <rPr>
            <b/>
            <sz val="9"/>
            <color indexed="81"/>
            <rFont val="Tahoma"/>
            <family val="2"/>
            <charset val="238"/>
          </rPr>
          <t>Jana Bendžalová:</t>
        </r>
        <r>
          <rPr>
            <sz val="9"/>
            <color indexed="81"/>
            <rFont val="Tahoma"/>
            <family val="2"/>
            <charset val="238"/>
          </rPr>
          <t xml:space="preserve">
Why only water?</t>
        </r>
      </text>
    </comment>
    <comment ref="A36" authorId="1" guid="{3F563BF4-0BCA-4393-956D-FF7633B4B596}">
      <text>
        <r>
          <rPr>
            <b/>
            <sz val="9"/>
            <color indexed="81"/>
            <rFont val="Tahoma"/>
            <family val="2"/>
            <charset val="238"/>
          </rPr>
          <t>Jana Bendžalová:</t>
        </r>
        <r>
          <rPr>
            <sz val="9"/>
            <color indexed="81"/>
            <rFont val="Tahoma"/>
            <family val="2"/>
            <charset val="238"/>
          </rPr>
          <t xml:space="preserve">
Why tax only for water?</t>
        </r>
      </text>
    </comment>
    <comment ref="A40" authorId="1" guid="{A0E1F3DF-350D-4956-86C5-7CD0476E3223}">
      <text>
        <r>
          <rPr>
            <b/>
            <sz val="9"/>
            <color indexed="81"/>
            <rFont val="Tahoma"/>
            <family val="2"/>
            <charset val="238"/>
          </rPr>
          <t>Jana Bendžalová:</t>
        </r>
        <r>
          <rPr>
            <sz val="9"/>
            <color indexed="81"/>
            <rFont val="Tahoma"/>
            <family val="2"/>
            <charset val="238"/>
          </rPr>
          <t xml:space="preserve">
</t>
        </r>
      </text>
    </comment>
  </commentList>
</comments>
</file>

<file path=xl/sharedStrings.xml><?xml version="1.0" encoding="utf-8"?>
<sst xmlns="http://schemas.openxmlformats.org/spreadsheetml/2006/main" count="848" uniqueCount="536">
  <si>
    <t>Item</t>
  </si>
  <si>
    <t>T0</t>
  </si>
  <si>
    <t>Life span</t>
  </si>
  <si>
    <t xml:space="preserve"> </t>
  </si>
  <si>
    <t>Design</t>
  </si>
  <si>
    <t>Quantity</t>
  </si>
  <si>
    <t>Unitary costs</t>
  </si>
  <si>
    <t>Water use</t>
  </si>
  <si>
    <t>Maintenance cleaning rate</t>
  </si>
  <si>
    <t>Inflation rate for energy</t>
  </si>
  <si>
    <t>Percentage for demolition cost_1</t>
  </si>
  <si>
    <t>Percentage for demolition cost_2</t>
  </si>
  <si>
    <t>Inflation rate for products</t>
  </si>
  <si>
    <t>Inflation rate for human activities</t>
  </si>
  <si>
    <t>Inflation rate for water</t>
  </si>
  <si>
    <t>Maintenance rate for products</t>
  </si>
  <si>
    <t xml:space="preserve">BUILDING ASSESSMENT INFORMATION </t>
  </si>
  <si>
    <t>BUILDING LIFE CYCLE INFORMATION</t>
  </si>
  <si>
    <t>SUPPLEMENTARY INFORMATION 
BEYOND
THE BUILDING LIFE CYCLE</t>
  </si>
  <si>
    <t>A 1 -3</t>
  </si>
  <si>
    <t>A 4 - 5</t>
  </si>
  <si>
    <t>B 1 - 7</t>
  </si>
  <si>
    <t>C 1 - 4</t>
  </si>
  <si>
    <t>D</t>
  </si>
  <si>
    <t>PRODUCT 
stage</t>
  </si>
  <si>
    <r>
      <t>CONSTRUCTION PROCESS</t>
    </r>
    <r>
      <rPr>
        <sz val="28"/>
        <color indexed="8"/>
        <rFont val="Arial"/>
        <family val="2"/>
      </rPr>
      <t xml:space="preserve">
stage</t>
    </r>
  </si>
  <si>
    <t>USE STAGE</t>
  </si>
  <si>
    <t>END OF LIFE
stage</t>
  </si>
  <si>
    <t xml:space="preserve"> Benefits and loads beyond the system boundary</t>
  </si>
  <si>
    <t>A1</t>
  </si>
  <si>
    <t>A2</t>
  </si>
  <si>
    <t>A3</t>
  </si>
  <si>
    <t>A4</t>
  </si>
  <si>
    <t>A5</t>
  </si>
  <si>
    <t>B1</t>
  </si>
  <si>
    <t>B2</t>
  </si>
  <si>
    <t>B3</t>
  </si>
  <si>
    <t>B4</t>
  </si>
  <si>
    <t>B5</t>
  </si>
  <si>
    <t>C1</t>
  </si>
  <si>
    <t>C2</t>
  </si>
  <si>
    <t>C3</t>
  </si>
  <si>
    <t>C4</t>
  </si>
  <si>
    <t>Raw material supply</t>
  </si>
  <si>
    <t>Transport</t>
  </si>
  <si>
    <t>Manufacturing</t>
  </si>
  <si>
    <t>Construction-installation 
proces</t>
  </si>
  <si>
    <t xml:space="preserve">Use </t>
  </si>
  <si>
    <t>Maintenance</t>
  </si>
  <si>
    <t xml:space="preserve">Repair </t>
  </si>
  <si>
    <t>Replacement</t>
  </si>
  <si>
    <t>Refurbishment</t>
  </si>
  <si>
    <t>De-construction
demolition</t>
  </si>
  <si>
    <t>Waste processing</t>
  </si>
  <si>
    <t>Disposal</t>
  </si>
  <si>
    <t>Reuse -
Recovery -
Recycling -
potential</t>
  </si>
  <si>
    <t>scenario</t>
  </si>
  <si>
    <t>B6</t>
  </si>
  <si>
    <t>Operational energy use</t>
  </si>
  <si>
    <t>B7</t>
  </si>
  <si>
    <t>Operational water use</t>
  </si>
  <si>
    <t>Water for construction</t>
  </si>
  <si>
    <t>Electricity for construction</t>
  </si>
  <si>
    <t>Fuels for construction</t>
  </si>
  <si>
    <t>Wall</t>
  </si>
  <si>
    <t>Roof</t>
  </si>
  <si>
    <t>Automatic transportation</t>
  </si>
  <si>
    <t>Partition wall</t>
  </si>
  <si>
    <t>Connection to services</t>
  </si>
  <si>
    <t>Site works</t>
  </si>
  <si>
    <t>Regulation and BMS</t>
  </si>
  <si>
    <t>Fire protection</t>
  </si>
  <si>
    <t>Electrical network</t>
  </si>
  <si>
    <t>Superstructure</t>
  </si>
  <si>
    <t>Foundations and substructure</t>
  </si>
  <si>
    <t>Fans</t>
  </si>
  <si>
    <t>Ventilation ducts</t>
  </si>
  <si>
    <t xml:space="preserve">Pipes </t>
  </si>
  <si>
    <t>Radiators and emiters</t>
  </si>
  <si>
    <t>Boiler/reservoir</t>
  </si>
  <si>
    <t>Tax for water used</t>
  </si>
  <si>
    <t>Electricity for EPBD use</t>
  </si>
  <si>
    <t>Fuels for EPBD use</t>
  </si>
  <si>
    <t>Fuels (others)</t>
  </si>
  <si>
    <t>Calculation Period</t>
  </si>
  <si>
    <t>In use Energy</t>
  </si>
  <si>
    <t>In use Water</t>
  </si>
  <si>
    <t>Demolition costs</t>
  </si>
  <si>
    <t>products and construction</t>
  </si>
  <si>
    <t>Others in use related buildings costs</t>
  </si>
  <si>
    <t>Service life</t>
  </si>
  <si>
    <t>Repair</t>
  </si>
  <si>
    <t>Servicing</t>
  </si>
  <si>
    <t xml:space="preserve">operation </t>
  </si>
  <si>
    <t>Cast iron radiators 40 1 0 0</t>
  </si>
  <si>
    <t>Steel radiators</t>
  </si>
  <si>
    <t>Flat radiators, steel</t>
  </si>
  <si>
    <t xml:space="preserve">Convectors with cladding </t>
  </si>
  <si>
    <t>Radiator paint</t>
  </si>
  <si>
    <t>Ceiling heating with suspended steel pipes and heat-conducting plates 20 1.5 0.5 0</t>
  </si>
  <si>
    <t xml:space="preserve">Hot water underfloor heating </t>
  </si>
  <si>
    <t xml:space="preserve"> Control units</t>
  </si>
  <si>
    <t xml:space="preserve">Thermostatic valves </t>
  </si>
  <si>
    <t xml:space="preserve">Valves with auxiliary power operation </t>
  </si>
  <si>
    <t>Hot-air heaters</t>
  </si>
  <si>
    <t xml:space="preserve">Gas-fired air heaters for inter-storey heating </t>
  </si>
  <si>
    <t xml:space="preserve">1.1.4 Air heaters for heating large spaces, gas- or oil-fired </t>
  </si>
  <si>
    <t>1.1.5 Electric heating</t>
  </si>
  <si>
    <t>Thermal storage heater</t>
  </si>
  <si>
    <t>Electric underfloor heating  (incl. mounting on untreated</t>
  </si>
  <si>
    <t>concrete floors)</t>
  </si>
  <si>
    <t>Electric direct heating appliance, permanently built-in 25 1 0 0</t>
  </si>
  <si>
    <t>1.2 Distribution</t>
  </si>
  <si>
    <t>Pumps</t>
  </si>
  <si>
    <t>Foundation pumps</t>
  </si>
  <si>
    <t>Inline pumps</t>
  </si>
  <si>
    <t>Circulation pumps</t>
  </si>
  <si>
    <t>Regulated jet pump</t>
  </si>
  <si>
    <t>1.2.2 Fittings</t>
  </si>
  <si>
    <t>1.2.3 Expansion tank, open or closed</t>
  </si>
  <si>
    <t xml:space="preserve">with membrane </t>
  </si>
  <si>
    <t xml:space="preserve">with pressure pad </t>
  </si>
  <si>
    <t>1.2.4 Metering and regulating devices</t>
  </si>
  <si>
    <t>1.2.5 Heat insulation of pipes</t>
  </si>
  <si>
    <t>1.2.6 Pipelines from drawn or rolled pipes, following DIN for</t>
  </si>
  <si>
    <t>Hot water heating</t>
  </si>
  <si>
    <t>Steam</t>
  </si>
  <si>
    <t>Condensation</t>
  </si>
  <si>
    <t>Gas</t>
  </si>
  <si>
    <t>1.2.7 Copper pipelines</t>
  </si>
  <si>
    <t>1.2.8 Plastic pipelines</t>
  </si>
  <si>
    <t>1.3 Generation</t>
  </si>
  <si>
    <t>1.3.1 Heat generator</t>
  </si>
  <si>
    <t>1.3.1.1 Gas fireplace with burner or fan</t>
  </si>
  <si>
    <t>1.3.1.1.1 Recycle gas water heater and gas boiler with burner but no fan</t>
  </si>
  <si>
    <t>Recycle gas water heater</t>
  </si>
  <si>
    <t>Combination recycle gas water heater</t>
  </si>
  <si>
    <t>Storage gas water heater</t>
  </si>
  <si>
    <t>Gas purpose-made heating boiler</t>
  </si>
  <si>
    <t>1.3.1.1.2 Hot-air heaters</t>
  </si>
  <si>
    <t>Gas-fired hot-air heaters for detached family houses 15 1.5 0.5 0</t>
  </si>
  <si>
    <t>1.3.1.2 Purpose-made boiler for oil and gas furnaces</t>
  </si>
  <si>
    <t>Purpose-made boiler for oil and gas furnaces under 120 kW</t>
  </si>
  <si>
    <t>Boilers over 120 kW as purpose-made boiler for oil and gas furnaces, as</t>
  </si>
  <si>
    <t>cast-iron or steel boilers with a minimum return temperature or minimum</t>
  </si>
  <si>
    <t>volume flow</t>
  </si>
  <si>
    <t>Purpose-made boilers for oil and gas furnaces, as cast-iron or steel boilers</t>
  </si>
  <si>
    <t>over 120 kW without a minimum return temperature or minimum volume flow</t>
  </si>
  <si>
    <t>Gas condensing boiler, wall-mounted, under 100 kW</t>
  </si>
  <si>
    <t>Gas condensing boiler, pedestal type, under 200 Kw</t>
  </si>
  <si>
    <t>Gas condensing boiler, pedestal type, over 200 kW, with neutralisation</t>
  </si>
  <si>
    <t>?</t>
  </si>
  <si>
    <t>system</t>
  </si>
  <si>
    <t>1.3.1.3 Purpose-made boiler for solid fuel</t>
  </si>
  <si>
    <t>Cast-iron sectional boiler, only for heating without return temperature boost</t>
  </si>
  <si>
    <t>new design</t>
  </si>
  <si>
    <t>Steel boiler in similar design only for heating without return temperature in</t>
  </si>
  <si>
    <t>detached family house</t>
  </si>
  <si>
    <t>1.3.1.4 High-speed steam generator</t>
  </si>
  <si>
    <t>1.3.1.5 Tank-type boiler and water-tube boiler &gt; 1 MW 25 2 1.5 80</t>
  </si>
  <si>
    <t>1.3.1.6 Thermo-oil boiler</t>
  </si>
  <si>
    <t>1.3.1.7 Burners</t>
  </si>
  <si>
    <t xml:space="preserve">Gas burner without fan </t>
  </si>
  <si>
    <t>Gas burner with fan and fittings</t>
  </si>
  <si>
    <t>Oil burner with fan and fittings</t>
  </si>
  <si>
    <t>1.3.1.8 Electric heating</t>
  </si>
  <si>
    <t>Electric central storage heater, storage medium water</t>
  </si>
  <si>
    <t>Electric central storage heater, storage medium solid matter</t>
  </si>
  <si>
    <t>Electric central storage heater for technical installations</t>
  </si>
  <si>
    <t>Electrode boiler</t>
  </si>
  <si>
    <t>1.3.1.9 Heat pumps</t>
  </si>
  <si>
    <t>Electricity</t>
  </si>
  <si>
    <t xml:space="preserve">Oil </t>
  </si>
  <si>
    <t>1.3.1.10 Block-type thermal power stations 15 6 2 100</t>
  </si>
  <si>
    <t>1.3.1.11 Solar energy plants</t>
  </si>
  <si>
    <t>Absorbers</t>
  </si>
  <si>
    <t>Flat plate collectors</t>
  </si>
  <si>
    <t>Vacuum tube collectors</t>
  </si>
  <si>
    <t xml:space="preserve">Vacuum flat plate collectors </t>
  </si>
  <si>
    <t xml:space="preserve">IKS-system </t>
  </si>
  <si>
    <t>1.3.2 Connection piece (heat-insulated) between boiler and chimney</t>
  </si>
  <si>
    <t xml:space="preserve">Sheet metal thickness up to 4 mm </t>
  </si>
  <si>
    <t>Sheet metal thickness of 4 mm or more</t>
  </si>
  <si>
    <t>1.3.3 Heat exchanger with copper battery, soldered or similar incl.</t>
  </si>
  <si>
    <t>Heating water or steam/heating water</t>
  </si>
  <si>
    <t xml:space="preserve">Heating water/drinking water </t>
  </si>
  <si>
    <t xml:space="preserve">Heating water/steam </t>
  </si>
  <si>
    <t>1.3.4 Domestic delivery station for district heating with direct connection 30 2 1 0</t>
  </si>
  <si>
    <t>1.3.5 Local heating system</t>
  </si>
  <si>
    <t>Steel casing pipe (laid inside building) 40 1 0 0</t>
  </si>
  <si>
    <t>Plastic casing pipe (underground) 40 1 0 0</t>
  </si>
  <si>
    <t>Plastic pipe (underground) 40 1 0 0</t>
  </si>
  <si>
    <t>1.3.6 Fuel feeder, ash removal, fuel store</t>
  </si>
  <si>
    <t>Solid fuel feeder with mobile electro-pulley block 25 1.5 2 2</t>
  </si>
  <si>
    <t>Solid fuel feeder with conveyor or plate belt 20 1.5 2 2</t>
  </si>
  <si>
    <t>Solid fuel feeder with forklift truck 15 4 2 2</t>
  </si>
  <si>
    <t>Pneumatic coal feeder 15 2 2 2</t>
  </si>
  <si>
    <t>Pneumatic coke feeder 10 4 2 2</t>
  </si>
  <si>
    <t>Cinder and ash transport via cinder lift 20 2 2 2</t>
  </si>
  <si>
    <t>Cinder and ash transport via pneumatic ash removal system 12 4 2 2</t>
  </si>
  <si>
    <t>Dust removal system (without suction) with associated pipeline 20 2 2 2</t>
  </si>
  <si>
    <t>Suction system 15 2 2 2</t>
  </si>
  <si>
    <t>Steel battery case (DIN 6620-1) 25 2 1 0</t>
  </si>
  <si>
    <t>Double-walled steel casing for underground storage (DIN 6606-2)</t>
  </si>
  <si>
    <t>30 1.5 1 0</t>
  </si>
  <si>
    <t>Steel case assembled in situ (DIN 6625-1) 30 1.5 1 0</t>
  </si>
  <si>
    <t>Steel case for overground or partially overground storage (DIN 6616,</t>
  </si>
  <si>
    <t>DIN 6618 and DIN 6619)</t>
  </si>
  <si>
    <t>25 2 1 0</t>
  </si>
  <si>
    <t>Case with plastic coating in accordance with RAL-RG 998, RAL-RG 977 30 1.5 1 0</t>
  </si>
  <si>
    <t>Case with protective inner sleeves or protective lining (tested and approved)</t>
  </si>
  <si>
    <t>Case out of material other than steel (tested and approved), e.g. aluminium,</t>
  </si>
  <si>
    <t>plastic (PE, glass fibre reinforced plastic etc.) and reinforced concrete with</t>
  </si>
  <si>
    <t>inner coating (none of which corrode)</t>
  </si>
  <si>
    <t>30 1 0.5 0</t>
  </si>
  <si>
    <t>Tank mounting with pipes 20 3 1 0</t>
  </si>
  <si>
    <t>Leak detecting device 10 3 1 0</t>
  </si>
  <si>
    <t>Liquid gas container 18 1.5 1 0</t>
  </si>
  <si>
    <t>1.3.7 Structural installations</t>
  </si>
  <si>
    <t>General construction costs 50 1 1 0</t>
  </si>
  <si>
    <t>Chimney in building 50 1 1 0</t>
  </si>
  <si>
    <t>Free-standing chimney, brick-built or concrete 40 1 1 0</t>
  </si>
  <si>
    <t>Platforms or steps in boiler house 40 1 1 0</t>
  </si>
  <si>
    <t>2 Ventilation and air-conditioning</t>
  </si>
  <si>
    <t>2.1 Benefit transfer</t>
  </si>
  <si>
    <t>2.1.1 Air transmission</t>
  </si>
  <si>
    <t>2.1.1.1 Ceiling air transmission 20 0 0.5 0</t>
  </si>
  <si>
    <t>2.1.1.2 Wall air transmission 20 0 0.5 0</t>
  </si>
  <si>
    <t>2.1.1.3 Floor air transmission 20 0 0.5 0</t>
  </si>
  <si>
    <t>2.1.2 Heat</t>
  </si>
  <si>
    <t>2.1.2.1 Air heaters</t>
  </si>
  <si>
    <t>2.1.2.1.1 Direct-central</t>
  </si>
  <si>
    <t>Gas 20 1 1 0</t>
  </si>
  <si>
    <t>Oil 20 1 1 0</t>
  </si>
  <si>
    <t>Electric 20 1 0.5 0</t>
  </si>
  <si>
    <t>2.1.2.1.2 Direct-local</t>
  </si>
  <si>
    <t>2.1.2.1.3 Indirect-central</t>
  </si>
  <si>
    <t>Water</t>
  </si>
  <si>
    <t>2.1.2.1.4 Indirect-local</t>
  </si>
  <si>
    <t>2.1.2.2 Heat recovery devices</t>
  </si>
  <si>
    <t>Plate heat exchangers 20 2 10 0</t>
  </si>
  <si>
    <t>Circulation heat exchangers 20 2 10 0</t>
  </si>
  <si>
    <t>Heat exchanger tubes 20 2 10 0</t>
  </si>
  <si>
    <t>Rotating heat exchangers 15 3 10 0</t>
  </si>
  <si>
    <t>2.1.3 Cooling</t>
  </si>
  <si>
    <t>2.1.3.1 Air coolers</t>
  </si>
  <si>
    <t>Brine</t>
  </si>
  <si>
    <t>2.1.3.2 Heat recovery devices</t>
  </si>
  <si>
    <t>Plate heat exchangers</t>
  </si>
  <si>
    <t>Heat pumps 20 2 1 0</t>
  </si>
  <si>
    <t>2.1.3.3 Refrigerated case</t>
  </si>
  <si>
    <t>2.1.3.3.1 Closed refrigerated case</t>
  </si>
  <si>
    <t>Cases or longitudinal plates with water pipes (with clamped joints) 20 1 0.5 0</t>
  </si>
  <si>
    <t>Roll-bonding elements with plastic cast (integrated water channels) 30 0 0 0</t>
  </si>
  <si>
    <t>Extruded section with moulded water channels (embedded copper pipes)</t>
  </si>
  <si>
    <t>30 0 0 0</t>
  </si>
  <si>
    <t>Cases with copper pipe meanders (pipes flattened), laid loose or fixed to a</t>
  </si>
  <si>
    <t>support plate above or below</t>
  </si>
  <si>
    <t>20 1 0.5 0</t>
  </si>
  <si>
    <t>Cases or longitudinal plates with capillary tube matting 20 1 0.5 0</t>
  </si>
  <si>
    <t>Cases with aluminium heat conducting section and embedded copper pipes</t>
  </si>
  <si>
    <t>(some sections with own support system)</t>
  </si>
  <si>
    <t>2.1.3.3.2 Open refrigerated case</t>
  </si>
  <si>
    <t>Slanting plates on water pipes (clamped joints) and louvered cover 20 1 1 0</t>
  </si>
  <si>
    <t>Longitudinal plates with water pipes (clamped joints) 20 1 1 0</t>
  </si>
  <si>
    <t>20 1 1 0</t>
  </si>
  <si>
    <t>Cases or longitudinal plates with open air passages (e.g. interleaved slits)</t>
  </si>
  <si>
    <t>2.1.3.3.3 Cooling propeller 20 1 1 0</t>
  </si>
  <si>
    <t>2.1.4 Humidity</t>
  </si>
  <si>
    <t>2.1.4.1 Humidifiers</t>
  </si>
  <si>
    <t>Vaporisation 15 3 2 0</t>
  </si>
  <si>
    <t>Evaporation 15 3 2 0</t>
  </si>
  <si>
    <t>Water jets 15 3 2 0</t>
  </si>
  <si>
    <t>Compressed air jets 15 3 2 0</t>
  </si>
  <si>
    <t>Mechanical 15 3 2 0</t>
  </si>
  <si>
    <t>Ultrasound 15 3 2 0</t>
  </si>
  <si>
    <t>2.1.4.2 De-humidifiers</t>
  </si>
  <si>
    <t>Condensers 15 2 2 0</t>
  </si>
  <si>
    <t>Absorption 10 3 3 0</t>
  </si>
  <si>
    <t>Adsorption 10 3 3 0</t>
  </si>
  <si>
    <t>2.1.4.3 Air washers</t>
  </si>
  <si>
    <t>Jet-humidifiers 15 3 2 0</t>
  </si>
  <si>
    <t>Trickling-humidifiers 15 3 2 0</t>
  </si>
  <si>
    <t>2.1.5 Hygiene</t>
  </si>
  <si>
    <t>2.1.5.1 Filters, single stage</t>
  </si>
  <si>
    <t>Cross-flow/panel filter 0.25 0 0 0</t>
  </si>
  <si>
    <t>Circular air filter 0.25 0 0 0</t>
  </si>
  <si>
    <t>Drum filter 0.25 0 0 0</t>
  </si>
  <si>
    <t>Boiler filter 0.25 0 0 0</t>
  </si>
  <si>
    <t>Closed-circuit filter 0.25 0 0 0</t>
  </si>
  <si>
    <t>Pocket filter 0.25 0 0 0</t>
  </si>
  <si>
    <t>Rotating air filter 0.5 0 0 0</t>
  </si>
  <si>
    <t>2.1.5.2 Filters, multi-stage</t>
  </si>
  <si>
    <t>Cross-flow filter 0.25 0 0 0</t>
  </si>
  <si>
    <t>Electric filter 20 0 6 0</t>
  </si>
  <si>
    <t>Activated carbon filter 0.5 0 0 0</t>
  </si>
  <si>
    <t>2.1.6 Air discharge</t>
  </si>
  <si>
    <t>2.1.6.1 Axial fans</t>
  </si>
  <si>
    <t>Wall fan 8 0 0 0</t>
  </si>
  <si>
    <t>Fan without stator 12 2 10 0</t>
  </si>
  <si>
    <t>Fan with stator 12 2 10 0</t>
  </si>
  <si>
    <t>Air expulsion devices 12 2 10 0</t>
  </si>
  <si>
    <t>2.1.6.2 Mixed flow fans</t>
  </si>
  <si>
    <t>Half radial</t>
  </si>
  <si>
    <t>2.1.6.3 Radial fans</t>
  </si>
  <si>
    <t>Blades bent backwards</t>
  </si>
  <si>
    <t xml:space="preserve">Straight blades </t>
  </si>
  <si>
    <t xml:space="preserve">Blades bent forwards </t>
  </si>
  <si>
    <t xml:space="preserve">2.1.6.4 Cross flow fans </t>
  </si>
  <si>
    <t>2.1.7 Silencers</t>
  </si>
  <si>
    <t>Absorption silencer</t>
  </si>
  <si>
    <t>Choke silencer</t>
  </si>
  <si>
    <t>Reflection silencer</t>
  </si>
  <si>
    <t>2.1.8 Air conduction – air channels</t>
  </si>
  <si>
    <t>High pressure air duct</t>
  </si>
  <si>
    <t>Low pressure air duct</t>
  </si>
  <si>
    <t>2.2 Distribution</t>
  </si>
  <si>
    <t>2.2.1 Hot water, see Heating</t>
  </si>
  <si>
    <t>2.2.2 Cold water</t>
  </si>
  <si>
    <t xml:space="preserve">Pipelines </t>
  </si>
  <si>
    <t xml:space="preserve">Insulation </t>
  </si>
  <si>
    <t xml:space="preserve">Pumps </t>
  </si>
  <si>
    <t xml:space="preserve">Fittings </t>
  </si>
  <si>
    <t xml:space="preserve">Control unit </t>
  </si>
  <si>
    <t>2.3 Generation</t>
  </si>
  <si>
    <t>2.3.1 Heat, see Heating</t>
  </si>
  <si>
    <t>2.3.2 Cooling</t>
  </si>
  <si>
    <t>2.3.2.1 Cooling machine, indirect</t>
  </si>
  <si>
    <t xml:space="preserve">2.3.2.1.1 Compression cooling systems </t>
  </si>
  <si>
    <t xml:space="preserve">2.3.2.1.2 Absorption cooling systems </t>
  </si>
  <si>
    <t xml:space="preserve">2.3.2.1.3 Thermo-electric cooling systems </t>
  </si>
  <si>
    <t>2.3.2.2 Recooling plants</t>
  </si>
  <si>
    <t>3 Heated drinking water</t>
  </si>
  <si>
    <t>3.1 Benefit transfer</t>
  </si>
  <si>
    <t>3.1.1 Fittings</t>
  </si>
  <si>
    <t xml:space="preserve">Shut-off and regulating fittings </t>
  </si>
  <si>
    <t xml:space="preserve">Tap fittings </t>
  </si>
  <si>
    <t xml:space="preserve">Cut-out and safety fittings </t>
  </si>
  <si>
    <t>3.1.2 Pipelines</t>
  </si>
  <si>
    <t xml:space="preserve">Drinking water pipelines </t>
  </si>
  <si>
    <t>Heated drinking water pipelines for suitable water conditions or appropriate</t>
  </si>
  <si>
    <t>treatment</t>
  </si>
  <si>
    <t>Hot water pipelines for unsuitable water conditions or untreated water</t>
  </si>
  <si>
    <t>3.1.3 Heat insulation of pipelines 20 1 0 0</t>
  </si>
  <si>
    <t>3.1.4 Metering and control devices 20 1.5 1 0</t>
  </si>
  <si>
    <t>3.1.5 Pumps 10 2 0 0</t>
  </si>
  <si>
    <t>3.1.6 Local hot water supply</t>
  </si>
  <si>
    <t>Flow heaters</t>
  </si>
  <si>
    <t xml:space="preserve">Electric boiling water apparatus </t>
  </si>
  <si>
    <t xml:space="preserve">Electric pressure flow heater </t>
  </si>
  <si>
    <t xml:space="preserve">Electric open storage tank, isolated or not isolated, capacity 5 to 80 l </t>
  </si>
  <si>
    <t xml:space="preserve">Electric closed storage tank </t>
  </si>
  <si>
    <t>Storage-water heating tank with separate heating</t>
  </si>
  <si>
    <t xml:space="preserve">Gas circulator water heater </t>
  </si>
  <si>
    <t xml:space="preserve">Gas hot water or gas reserve tank </t>
  </si>
  <si>
    <t>3.2 Distribution</t>
  </si>
  <si>
    <t>3.2.1 Hot water, see Heating</t>
  </si>
  <si>
    <t>3.3 Generation</t>
  </si>
  <si>
    <t>3.3.1 Heaters, see Heating</t>
  </si>
  <si>
    <t>3.3.2 Central hot water supply</t>
  </si>
  <si>
    <t>Hot water storage tank</t>
  </si>
  <si>
    <t>Flow heater</t>
  </si>
  <si>
    <t>3.3.3 Water treatment plants 15 1 1 1</t>
  </si>
  <si>
    <t>ITEM Type</t>
  </si>
  <si>
    <t>from CEN CWA 27 - Europe</t>
  </si>
  <si>
    <t>Reference Service Life</t>
  </si>
  <si>
    <t xml:space="preserve">1 Insulation: building envelope </t>
  </si>
  <si>
    <t>&gt;25</t>
  </si>
  <si>
    <t xml:space="preserve">2 Draught proofing </t>
  </si>
  <si>
    <t>4 Windows/glazing 24</t>
  </si>
  <si>
    <t>5 Replace hot water storage tank</t>
  </si>
  <si>
    <t>6 Insulation of hot water pipes</t>
  </si>
  <si>
    <t>7 Heat reflecting radiator panels</t>
  </si>
  <si>
    <t>8 Small boilers</t>
  </si>
  <si>
    <t>9 Large boilers</t>
  </si>
  <si>
    <t>10 Heating control</t>
  </si>
  <si>
    <t>11 Heat recovery systems</t>
  </si>
  <si>
    <t>12 Hot water saving faucets</t>
  </si>
  <si>
    <t>13 Heat pump (household)</t>
  </si>
  <si>
    <t>14 Efficient chiller or room air conditioner</t>
  </si>
  <si>
    <t>15 New/upgraded district heating</t>
  </si>
  <si>
    <t>16 Solar water heating 19</t>
  </si>
  <si>
    <t>17 Efficient cold appliances 15</t>
  </si>
  <si>
    <t>18 Efficient wet appliances 12</t>
  </si>
  <si>
    <t>19 Consumer electronic goods</t>
  </si>
  <si>
    <t>20 Efficient bulbs CFL</t>
  </si>
  <si>
    <t>6000h</t>
  </si>
  <si>
    <t>21 Luminaire with ballast systems 15</t>
  </si>
  <si>
    <t>23 Micro-CHP</t>
  </si>
  <si>
    <t>24 PV-panels</t>
  </si>
  <si>
    <t>25 Hydraulic balancing of heating</t>
  </si>
  <si>
    <t>26 Electricity saving</t>
  </si>
  <si>
    <t>27 Heat saving</t>
  </si>
  <si>
    <t>28 Feedback on use from smart meters</t>
  </si>
  <si>
    <t xml:space="preserve">29 Windows/glazing </t>
  </si>
  <si>
    <t>30 Insulation: building envelope</t>
  </si>
  <si>
    <t xml:space="preserve">31 Heat recovery systems </t>
  </si>
  <si>
    <t>32 Energy efficient architecture</t>
  </si>
  <si>
    <t>33 Heat pumps (commercial sector)</t>
  </si>
  <si>
    <t>34 Efficient chillers in AC</t>
  </si>
  <si>
    <t>35 Efficient ventilation systems</t>
  </si>
  <si>
    <t>36 Commercial refrigeration (supermarkets)</t>
  </si>
  <si>
    <t>37 Energy efficient office appliances</t>
  </si>
  <si>
    <t xml:space="preserve">38 Combined heat *and power </t>
  </si>
  <si>
    <t>39 Motion detection light controls</t>
  </si>
  <si>
    <t>40 New/renovated office lighting</t>
  </si>
  <si>
    <t>41 Public lighting systems</t>
  </si>
  <si>
    <t>42 EMS (monitoring, ISO)</t>
  </si>
  <si>
    <t>Difference bewteen Actualisation factor and  market interest rate</t>
  </si>
  <si>
    <t>others</t>
  </si>
  <si>
    <t>External works</t>
  </si>
  <si>
    <t>kWH/m²</t>
  </si>
  <si>
    <t>m3/an</t>
  </si>
  <si>
    <t>demolition</t>
  </si>
  <si>
    <t>Investment cost</t>
  </si>
  <si>
    <t>Maintenance and repair costs</t>
  </si>
  <si>
    <t>Other operational costs (replacments)</t>
  </si>
  <si>
    <t>In use energy</t>
  </si>
  <si>
    <t>In use water</t>
  </si>
  <si>
    <t>Land acquisition and preparation</t>
  </si>
  <si>
    <t>Maintenance and repair</t>
  </si>
  <si>
    <t>Option A</t>
  </si>
  <si>
    <t>Option B</t>
  </si>
  <si>
    <t>k€</t>
  </si>
  <si>
    <t>base 100 for investment costs</t>
  </si>
  <si>
    <t>€/m².month</t>
  </si>
  <si>
    <t>Land (acquisition)</t>
  </si>
  <si>
    <t>Primary energy conversion factor</t>
  </si>
  <si>
    <t>Operational costs</t>
  </si>
  <si>
    <t>Residual value</t>
  </si>
  <si>
    <t>CO2 content</t>
  </si>
  <si>
    <t>Heating</t>
  </si>
  <si>
    <t>Lighting</t>
  </si>
  <si>
    <t>Total</t>
  </si>
  <si>
    <t>(€)</t>
  </si>
  <si>
    <t>Commercial buildings</t>
  </si>
  <si>
    <t>Residential buildings</t>
  </si>
  <si>
    <t>Others</t>
  </si>
  <si>
    <t>Date</t>
  </si>
  <si>
    <t>Version scope</t>
  </si>
  <si>
    <t>Changes, notes</t>
  </si>
  <si>
    <t>1.0</t>
  </si>
  <si>
    <t>Draft version - Need to complete Energy costs according to EN 15603 and calculation period according to the type of buildings</t>
  </si>
  <si>
    <t>Discount factor</t>
  </si>
  <si>
    <t>Domestic hot Water</t>
  </si>
  <si>
    <t>Humidification</t>
  </si>
  <si>
    <t>Deshumidification</t>
  </si>
  <si>
    <t>Mechanical ventilation</t>
  </si>
  <si>
    <t>Other</t>
  </si>
  <si>
    <t>Exported Energy</t>
  </si>
  <si>
    <t>Energy type</t>
  </si>
  <si>
    <t>Conversion factor for primary energy</t>
  </si>
  <si>
    <t>CO2</t>
  </si>
  <si>
    <t>kg</t>
  </si>
  <si>
    <t>Primary Energy</t>
  </si>
  <si>
    <t>Delivered energy</t>
  </si>
  <si>
    <t>-</t>
  </si>
  <si>
    <t>kg/unit</t>
  </si>
  <si>
    <t>€</t>
  </si>
  <si>
    <t>kWh EP</t>
  </si>
  <si>
    <t>kWh</t>
  </si>
  <si>
    <t>Discount rate (real interest rate)</t>
  </si>
  <si>
    <t>€/m²</t>
  </si>
  <si>
    <t xml:space="preserve">TC- 50        Costs             </t>
  </si>
  <si>
    <t>End of life Costs</t>
  </si>
  <si>
    <t>TC 20                Costs</t>
  </si>
  <si>
    <t>TC 30                Costs</t>
  </si>
  <si>
    <t xml:space="preserve">  Final value</t>
  </si>
  <si>
    <t xml:space="preserve"> Number of replacement</t>
  </si>
  <si>
    <t>Calculation period</t>
  </si>
  <si>
    <t>years</t>
  </si>
  <si>
    <t>Energy for EPBD</t>
  </si>
  <si>
    <t>Energy for non EPBD systems</t>
  </si>
  <si>
    <t>Electricity for EPBD</t>
  </si>
  <si>
    <t>ELectricity for non EPBD</t>
  </si>
  <si>
    <t>Building surface</t>
  </si>
  <si>
    <t>m²</t>
  </si>
  <si>
    <t>1.1</t>
  </si>
  <si>
    <t>Environmental taxes on CO2</t>
  </si>
  <si>
    <t>kWh/m²</t>
  </si>
  <si>
    <t>Electricity (non EPBD,lifts)</t>
  </si>
  <si>
    <t>t CO2/m²</t>
  </si>
  <si>
    <t>energy cost per kWh</t>
  </si>
  <si>
    <t>Enrgy cost</t>
  </si>
  <si>
    <t>Energy cost (base)</t>
  </si>
  <si>
    <t>kg CO2/m²</t>
  </si>
  <si>
    <t xml:space="preserve">Add various calculation period and calculation sheet on energy </t>
  </si>
  <si>
    <r>
      <rPr>
        <sz val="11"/>
        <color rgb="FFFF0000"/>
        <rFont val="Calibri"/>
        <family val="2"/>
        <charset val="238"/>
        <scheme val="minor"/>
      </rPr>
      <t>Windows and</t>
    </r>
    <r>
      <rPr>
        <sz val="11"/>
        <color theme="1"/>
        <rFont val="Calibri"/>
        <family val="2"/>
        <scheme val="minor"/>
      </rPr>
      <t xml:space="preserve"> Door and glazing (m²)</t>
    </r>
  </si>
  <si>
    <r>
      <t>Building products,</t>
    </r>
    <r>
      <rPr>
        <sz val="11"/>
        <color rgb="FFFF0000"/>
        <rFont val="Calibri"/>
        <family val="2"/>
        <charset val="238"/>
        <scheme val="minor"/>
      </rPr>
      <t xml:space="preserve"> works and services</t>
    </r>
  </si>
  <si>
    <t>Running costs</t>
  </si>
  <si>
    <t xml:space="preserve">Time </t>
  </si>
  <si>
    <t>Investment option</t>
  </si>
  <si>
    <t>Invesment reference</t>
  </si>
  <si>
    <t>Annual cost option</t>
  </si>
  <si>
    <t>Annual costs Reference</t>
  </si>
  <si>
    <t>Year</t>
  </si>
  <si>
    <t>Reference - nothing doing</t>
  </si>
  <si>
    <t>Measure x</t>
  </si>
  <si>
    <t>Diffference in cash flow (running costs+ replacement) €</t>
  </si>
  <si>
    <t>Present value €</t>
  </si>
  <si>
    <t>Cumulative net present value (present value - investment)  €</t>
  </si>
  <si>
    <t>Running costs  €</t>
  </si>
  <si>
    <t>Replacement costs  €</t>
  </si>
  <si>
    <t>Present value  €</t>
  </si>
  <si>
    <t>Discounted payback period</t>
  </si>
  <si>
    <t>Discount rate</t>
  </si>
  <si>
    <r>
      <t>RAT</t>
    </r>
    <r>
      <rPr>
        <vertAlign val="subscript"/>
        <sz val="14"/>
        <rFont val="Arial"/>
        <family val="2"/>
        <charset val="238"/>
      </rPr>
      <t>disc</t>
    </r>
    <r>
      <rPr>
        <sz val="14"/>
        <rFont val="Arial"/>
        <family val="2"/>
        <charset val="238"/>
      </rPr>
      <t xml:space="preserve"> =</t>
    </r>
  </si>
  <si>
    <t xml:space="preserve">Initial investment costs - reference  - (e.g. doing nothing) </t>
  </si>
  <si>
    <r>
      <t>CO</t>
    </r>
    <r>
      <rPr>
        <vertAlign val="subscript"/>
        <sz val="14"/>
        <rFont val="Arial"/>
        <family val="2"/>
        <charset val="238"/>
      </rPr>
      <t xml:space="preserve">INIT,ref </t>
    </r>
    <r>
      <rPr>
        <sz val="14"/>
        <rFont val="Arial"/>
        <family val="2"/>
        <charset val="238"/>
      </rPr>
      <t>=</t>
    </r>
  </si>
  <si>
    <t>Initial investment costs - refurbishment - measure x</t>
  </si>
  <si>
    <r>
      <t>CO</t>
    </r>
    <r>
      <rPr>
        <vertAlign val="subscript"/>
        <sz val="14"/>
        <rFont val="Arial"/>
        <family val="2"/>
        <charset val="238"/>
      </rPr>
      <t xml:space="preserve">INIT </t>
    </r>
    <r>
      <rPr>
        <sz val="14"/>
        <rFont val="Arial"/>
        <family val="2"/>
        <charset val="238"/>
      </rPr>
      <t>=</t>
    </r>
  </si>
  <si>
    <t xml:space="preserve">Running costs - reference  - (e.g. doing nothing) </t>
  </si>
  <si>
    <t>annual</t>
  </si>
  <si>
    <r>
      <t>CO</t>
    </r>
    <r>
      <rPr>
        <vertAlign val="subscript"/>
        <sz val="14"/>
        <rFont val="Arial"/>
        <family val="2"/>
        <charset val="238"/>
      </rPr>
      <t xml:space="preserve">run ref </t>
    </r>
    <r>
      <rPr>
        <sz val="14"/>
        <rFont val="Arial"/>
        <family val="2"/>
        <charset val="238"/>
      </rPr>
      <t>=</t>
    </r>
  </si>
  <si>
    <t xml:space="preserve">Running costs - after refurbishement - measure  x </t>
  </si>
  <si>
    <r>
      <t>CO</t>
    </r>
    <r>
      <rPr>
        <vertAlign val="subscript"/>
        <sz val="14"/>
        <rFont val="Arial"/>
        <family val="2"/>
        <charset val="238"/>
      </rPr>
      <t>run</t>
    </r>
    <r>
      <rPr>
        <sz val="14"/>
        <rFont val="Arial"/>
        <family val="2"/>
        <charset val="238"/>
      </rPr>
      <t xml:space="preserve"> =</t>
    </r>
  </si>
  <si>
    <t>Discounted cash flow difference</t>
  </si>
  <si>
    <t>Cumulative discount difference</t>
  </si>
  <si>
    <t>Add payback calculation</t>
  </si>
  <si>
    <t>1.2</t>
  </si>
  <si>
    <t>f</t>
  </si>
  <si>
    <t>Cumulative present value of annual gains €</t>
  </si>
  <si>
    <t>DISCLAIMER:</t>
  </si>
  <si>
    <r>
      <t>·</t>
    </r>
    <r>
      <rPr>
        <sz val="7"/>
        <color theme="1"/>
        <rFont val="Times New Roman"/>
        <family val="1"/>
      </rPr>
      <t xml:space="preserve">        </t>
    </r>
    <r>
      <rPr>
        <sz val="10"/>
        <color theme="1"/>
        <rFont val="Arial"/>
        <family val="2"/>
      </rPr>
      <t xml:space="preserve">This spreadsheet has been developed in the framework of the preparation and revision of the set of EN or ISO standards on the energy performance of buildings, to support the European "Energy Performance of Buildings Directive" recast (EPBD-recast, directive 2010/31/EU). </t>
    </r>
  </si>
  <si>
    <r>
      <t>·</t>
    </r>
    <r>
      <rPr>
        <sz val="7"/>
        <color theme="1"/>
        <rFont val="Times New Roman"/>
        <family val="1"/>
      </rPr>
      <t xml:space="preserve">        </t>
    </r>
    <r>
      <rPr>
        <sz val="10"/>
        <color theme="1"/>
        <rFont val="Arial"/>
        <family val="2"/>
      </rPr>
      <t>It is meant for use by  CEN and ISO technical committee(s) and the working group(s) working on the preparation or revision of the EPB-standard to which this spreadsheet applies. The spreadsheet supports checking  that all equations in the developed standard are consistent and can be linked with other relevant standards. It is not meant to perform a full or partial energy performance calculation.</t>
    </r>
  </si>
  <si>
    <r>
      <t>·</t>
    </r>
    <r>
      <rPr>
        <sz val="7"/>
        <color theme="1"/>
        <rFont val="Times New Roman"/>
        <family val="1"/>
      </rPr>
      <t xml:space="preserve">        </t>
    </r>
    <r>
      <rPr>
        <sz val="10"/>
        <color theme="1"/>
        <rFont val="Arial"/>
        <family val="2"/>
      </rPr>
      <t>The spreadsheet supports the expert user of the standards, in particular those who want to review the content of the standard and those who want to translate the standard to a software, to understand the correct interpretation of the equations and calculation steps in the standard.</t>
    </r>
  </si>
  <si>
    <r>
      <t>·</t>
    </r>
    <r>
      <rPr>
        <sz val="7"/>
        <color theme="1"/>
        <rFont val="Times New Roman"/>
        <family val="1"/>
      </rPr>
      <t xml:space="preserve">        </t>
    </r>
    <r>
      <rPr>
        <sz val="10"/>
        <color theme="1"/>
        <rFont val="Arial"/>
        <family val="2"/>
      </rPr>
      <t>Although it has been developed with care, neither the technical committee(s), nor the working group(s) and experts related to the EPB- standard to which this spreadsheet applies warrant that the calculations and procedures in this spreadsheet are free of errors. The technical committees as well as the working groups and their respective members expressly disclaim any liability or responsibility arising from use of this spreadsheet, or any consequences thereof. Any responsibility arising from the use of this spreadsheet lies with the user.</t>
    </r>
  </si>
  <si>
    <t>DRAFT VERSION:</t>
  </si>
  <si>
    <r>
      <t>·</t>
    </r>
    <r>
      <rPr>
        <sz val="7"/>
        <color theme="1"/>
        <rFont val="Times New Roman"/>
        <family val="1"/>
      </rPr>
      <t xml:space="preserve">        </t>
    </r>
    <r>
      <rPr>
        <sz val="10"/>
        <color theme="1"/>
        <rFont val="Arial"/>
        <family val="2"/>
      </rPr>
      <t>As long as the associated EPB standard or any of the other EPB standards to which it is directly linked are in a draft stage, this spreadsheet is also a draft version only.</t>
    </r>
  </si>
  <si>
    <t xml:space="preserve">WARNINGS: </t>
  </si>
  <si>
    <r>
      <t>·</t>
    </r>
    <r>
      <rPr>
        <sz val="7"/>
        <color theme="1"/>
        <rFont val="Times New Roman"/>
        <family val="1"/>
      </rPr>
      <t xml:space="preserve">        </t>
    </r>
    <r>
      <rPr>
        <sz val="10"/>
        <color theme="1"/>
        <rFont val="Arial"/>
        <family val="2"/>
      </rPr>
      <t xml:space="preserve">Note that the spreadsheet may not allow testing all calculation options that are possible according to the standard to which it applies. This remark applies in particular but not only to limitations on the number instances of a variable that can be considered. </t>
    </r>
  </si>
  <si>
    <r>
      <t>·</t>
    </r>
    <r>
      <rPr>
        <sz val="7"/>
        <color theme="1"/>
        <rFont val="Times New Roman"/>
        <family val="1"/>
      </rPr>
      <t xml:space="preserve">        </t>
    </r>
    <r>
      <rPr>
        <sz val="10"/>
        <color theme="1"/>
        <rFont val="Arial"/>
        <family val="2"/>
      </rPr>
      <t>In case of differences, the standard should be regarded as the reference, not the spreadsheet. However, during the standard's drafting phase, shortcomings in the draft standard may have been detected and dealt with in the spreadsheets (ideally, such differences are marked).</t>
    </r>
  </si>
  <si>
    <r>
      <t>·</t>
    </r>
    <r>
      <rPr>
        <sz val="7"/>
        <color theme="1"/>
        <rFont val="Times New Roman"/>
        <family val="1"/>
      </rPr>
      <t xml:space="preserve">        </t>
    </r>
    <r>
      <rPr>
        <sz val="10"/>
        <color theme="1"/>
        <rFont val="Arial"/>
        <family val="2"/>
      </rPr>
      <t xml:space="preserve">Note also that these spreadsheets are purely intended for testing and demonstration and therefore not aiming to be user friendly or to be protected against wrong or improper use. </t>
    </r>
  </si>
  <si>
    <t>TERMS OF USE:</t>
  </si>
  <si>
    <r>
      <t>·</t>
    </r>
    <r>
      <rPr>
        <sz val="7"/>
        <color theme="1"/>
        <rFont val="Times New Roman"/>
        <family val="1"/>
      </rPr>
      <t xml:space="preserve">        </t>
    </r>
    <r>
      <rPr>
        <sz val="10"/>
        <color theme="1"/>
        <rFont val="Arial"/>
        <family val="2"/>
      </rPr>
      <t>The user is not allowed to redistribute a modified version of this spreadsheet.</t>
    </r>
  </si>
  <si>
    <r>
      <t>·</t>
    </r>
    <r>
      <rPr>
        <sz val="7"/>
        <color theme="1"/>
        <rFont val="Times New Roman"/>
        <family val="1"/>
      </rPr>
      <t xml:space="preserve">        </t>
    </r>
    <r>
      <rPr>
        <sz val="10"/>
        <color theme="1"/>
        <rFont val="Arial"/>
        <family val="2"/>
      </rPr>
      <t>The author(s) would appreciate your feed back on the spreadsheet via the comment sheets for the associated draft standard to be prepared by the national standards bodies during enquiry of the draft standard(s),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</si>
</sst>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_€"/>
    <numFmt numFmtId="166" formatCode="#,##0.00\ _€"/>
    <numFmt numFmtId="167" formatCode="0.000"/>
    <numFmt numFmtId="168" formatCode="0.0000"/>
    <numFmt numFmtId="169" formatCode="0.0%"/>
    <numFmt numFmtId="170" formatCode="_-* #,##0\ [$€-1]_-;\-* #,##0\ [$€-1]_-;_-* &quot;-&quot;??\ [$€-1]_-;_-@_-"/>
  </numFmts>
  <fonts count="49" x14ac:knownFonts="1">
    <font>
      <sz val="11"/>
      <color theme="1"/>
      <name val="Calibri"/>
      <family val="2"/>
      <scheme val="minor"/>
    </font>
    <font>
      <sz val="11"/>
      <color theme="1"/>
      <name val="Calibri"/>
      <family val="2"/>
      <charset val="238"/>
      <scheme val="minor"/>
    </font>
    <font>
      <sz val="14"/>
      <color indexed="8"/>
      <name val="Arial"/>
      <family val="2"/>
    </font>
    <font>
      <i/>
      <sz val="28"/>
      <color indexed="8"/>
      <name val="Arial"/>
      <family val="2"/>
    </font>
    <font>
      <sz val="26"/>
      <color indexed="8"/>
      <name val="Arial"/>
      <family val="2"/>
    </font>
    <font>
      <sz val="26"/>
      <name val="Arial"/>
      <family val="2"/>
    </font>
    <font>
      <sz val="18"/>
      <color indexed="8"/>
      <name val="Arial"/>
      <family val="2"/>
    </font>
    <font>
      <sz val="28"/>
      <color indexed="8"/>
      <name val="Arial"/>
      <family val="2"/>
    </font>
    <font>
      <sz val="28"/>
      <color indexed="8"/>
      <name val="Arial Narrow"/>
      <family val="2"/>
    </font>
    <font>
      <sz val="24"/>
      <color indexed="8"/>
      <name val="Arial"/>
      <family val="2"/>
    </font>
    <font>
      <sz val="28"/>
      <name val="Arial"/>
      <family val="2"/>
    </font>
    <font>
      <sz val="20"/>
      <color indexed="8"/>
      <name val="Arial"/>
      <family val="2"/>
    </font>
    <font>
      <sz val="12"/>
      <color indexed="8"/>
      <name val="Arial"/>
      <family val="2"/>
    </font>
    <font>
      <sz val="16"/>
      <color indexed="8"/>
      <name val="Arial"/>
      <family val="2"/>
    </font>
    <font>
      <sz val="10"/>
      <name val="Arial"/>
      <family val="2"/>
    </font>
    <font>
      <b/>
      <sz val="28"/>
      <color indexed="8"/>
      <name val="Arial"/>
      <family val="2"/>
    </font>
    <font>
      <sz val="11"/>
      <color rgb="FFFF0000"/>
      <name val="Calibri"/>
      <family val="2"/>
      <scheme val="minor"/>
    </font>
    <font>
      <b/>
      <sz val="11"/>
      <color theme="1"/>
      <name val="Calibri"/>
      <family val="2"/>
      <scheme val="minor"/>
    </font>
    <font>
      <sz val="18"/>
      <color theme="1"/>
      <name val="Calibri"/>
      <family val="2"/>
      <scheme val="minor"/>
    </font>
    <font>
      <sz val="14"/>
      <color theme="1"/>
      <name val="Calibri"/>
      <family val="2"/>
      <scheme val="minor"/>
    </font>
    <font>
      <b/>
      <sz val="20"/>
      <color indexed="81"/>
      <name val="Tahoma"/>
      <family val="2"/>
    </font>
    <font>
      <sz val="9"/>
      <color indexed="81"/>
      <name val="Tahoma"/>
      <family val="2"/>
    </font>
    <font>
      <b/>
      <sz val="9"/>
      <color indexed="81"/>
      <name val="Tahoma"/>
      <family val="2"/>
    </font>
    <font>
      <sz val="10"/>
      <color theme="1"/>
      <name val="Arial"/>
      <family val="2"/>
    </font>
    <font>
      <b/>
      <sz val="8"/>
      <color rgb="FF000000"/>
      <name val="Arial"/>
      <family val="2"/>
    </font>
    <font>
      <sz val="8"/>
      <color rgb="FF000000"/>
      <name val="Arial"/>
      <family val="2"/>
    </font>
    <font>
      <b/>
      <sz val="10"/>
      <name val="Arial"/>
      <family val="2"/>
    </font>
    <font>
      <sz val="12"/>
      <color theme="1"/>
      <name val="Calibri"/>
      <family val="2"/>
      <scheme val="minor"/>
    </font>
    <font>
      <b/>
      <sz val="11"/>
      <color rgb="FFFF0000"/>
      <name val="Calibri"/>
      <family val="2"/>
      <scheme val="minor"/>
    </font>
    <font>
      <sz val="11"/>
      <color rgb="FFFF0000"/>
      <name val="Calibri"/>
      <family val="2"/>
      <charset val="238"/>
      <scheme val="minor"/>
    </font>
    <font>
      <sz val="9"/>
      <color indexed="81"/>
      <name val="Tahoma"/>
      <family val="2"/>
      <charset val="238"/>
    </font>
    <font>
      <b/>
      <sz val="9"/>
      <color indexed="81"/>
      <name val="Tahoma"/>
      <family val="2"/>
      <charset val="238"/>
    </font>
    <font>
      <sz val="20"/>
      <color rgb="FFFF0000"/>
      <name val="Calibri"/>
      <family val="2"/>
      <scheme val="minor"/>
    </font>
    <font>
      <b/>
      <sz val="14"/>
      <color rgb="FFFF0000"/>
      <name val="Calibri"/>
      <family val="2"/>
      <charset val="238"/>
      <scheme val="minor"/>
    </font>
    <font>
      <sz val="10"/>
      <name val="Arial CE"/>
      <charset val="238"/>
    </font>
    <font>
      <b/>
      <sz val="12"/>
      <name val="Arial"/>
      <family val="2"/>
      <charset val="238"/>
    </font>
    <font>
      <sz val="12"/>
      <name val="Arial"/>
      <family val="2"/>
      <charset val="238"/>
    </font>
    <font>
      <sz val="11"/>
      <name val="Arial"/>
      <family val="2"/>
      <charset val="238"/>
    </font>
    <font>
      <b/>
      <sz val="10"/>
      <name val="Arial CE"/>
      <family val="2"/>
      <charset val="238"/>
    </font>
    <font>
      <sz val="10"/>
      <color rgb="FFFF0000"/>
      <name val="Arial CE"/>
      <charset val="238"/>
    </font>
    <font>
      <b/>
      <sz val="18"/>
      <name val="Arial"/>
      <family val="2"/>
      <charset val="238"/>
    </font>
    <font>
      <sz val="10"/>
      <name val="Arial"/>
      <family val="2"/>
      <charset val="238"/>
    </font>
    <font>
      <sz val="9"/>
      <name val="Arial"/>
      <family val="2"/>
      <charset val="238"/>
    </font>
    <font>
      <sz val="14"/>
      <name val="Arial"/>
      <family val="2"/>
      <charset val="238"/>
    </font>
    <font>
      <vertAlign val="subscript"/>
      <sz val="14"/>
      <name val="Arial"/>
      <family val="2"/>
      <charset val="238"/>
    </font>
    <font>
      <sz val="14"/>
      <name val="Arial CE"/>
      <family val="2"/>
      <charset val="238"/>
    </font>
    <font>
      <b/>
      <sz val="10"/>
      <color theme="1"/>
      <name val="Arial"/>
      <family val="2"/>
    </font>
    <font>
      <sz val="10"/>
      <color theme="1"/>
      <name val="Symbol"/>
      <family val="1"/>
      <charset val="2"/>
    </font>
    <font>
      <sz val="7"/>
      <color theme="1"/>
      <name val="Times New Roman"/>
      <family val="1"/>
    </font>
  </fonts>
  <fills count="30">
    <fill>
      <patternFill patternType="none"/>
    </fill>
    <fill>
      <patternFill patternType="gray125"/>
    </fill>
    <fill>
      <patternFill patternType="solid">
        <fgColor rgb="FFFFFF00"/>
        <bgColor indexed="64"/>
      </patternFill>
    </fill>
    <fill>
      <patternFill patternType="solid">
        <fgColor theme="3" tint="0.39994506668294322"/>
        <bgColor indexed="64"/>
      </patternFill>
    </fill>
    <fill>
      <patternFill patternType="solid">
        <fgColor rgb="FF92D050"/>
        <bgColor indexed="64"/>
      </patternFill>
    </fill>
    <fill>
      <patternFill patternType="solid">
        <fgColor rgb="FFFFC000"/>
        <bgColor indexed="64"/>
      </patternFill>
    </fill>
    <fill>
      <patternFill patternType="solid">
        <fgColor theme="5" tint="0.39997558519241921"/>
        <bgColor indexed="64"/>
      </patternFill>
    </fill>
    <fill>
      <patternFill patternType="solid">
        <fgColor rgb="FFFF9999"/>
        <bgColor indexed="64"/>
      </patternFill>
    </fill>
    <fill>
      <patternFill patternType="solid">
        <fgColor theme="0"/>
        <bgColor indexed="64"/>
      </patternFill>
    </fill>
    <fill>
      <patternFill patternType="solid">
        <fgColor theme="3" tint="0.59999389629810485"/>
        <bgColor indexed="64"/>
      </patternFill>
    </fill>
    <fill>
      <patternFill patternType="solid">
        <fgColor rgb="FFFF99CC"/>
        <bgColor indexed="64"/>
      </patternFill>
    </fill>
    <fill>
      <patternFill patternType="solid">
        <fgColor rgb="FFFF6699"/>
        <bgColor indexed="64"/>
      </patternFill>
    </fill>
    <fill>
      <patternFill patternType="solid">
        <fgColor rgb="FF00B0F0"/>
        <bgColor indexed="64"/>
      </patternFill>
    </fill>
    <fill>
      <patternFill patternType="solid">
        <fgColor theme="8" tint="0.39997558519241921"/>
        <bgColor indexed="64"/>
      </patternFill>
    </fill>
    <fill>
      <patternFill patternType="solid">
        <fgColor rgb="FFF1C10F"/>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FFD13F"/>
        <bgColor indexed="64"/>
      </patternFill>
    </fill>
    <fill>
      <patternFill patternType="solid">
        <fgColor rgb="FFFFFFFF"/>
        <bgColor indexed="64"/>
      </patternFill>
    </fill>
    <fill>
      <patternFill patternType="solid">
        <fgColor rgb="FFE6E6E6"/>
        <bgColor indexed="64"/>
      </patternFill>
    </fill>
    <fill>
      <patternFill patternType="solid">
        <fgColor rgb="FF80808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66CC"/>
        <bgColor indexed="64"/>
      </patternFill>
    </fill>
    <fill>
      <patternFill patternType="solid">
        <fgColor rgb="FF00B050"/>
        <bgColor indexed="64"/>
      </patternFill>
    </fill>
    <fill>
      <patternFill patternType="solid">
        <fgColor theme="0" tint="-0.3499862666707357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0.249977111117893"/>
        <bgColor indexed="64"/>
      </patternFill>
    </fill>
  </fills>
  <borders count="53">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rgb="FF00000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style="thin">
        <color indexed="64"/>
      </top>
      <bottom/>
      <diagonal/>
    </border>
    <border>
      <left/>
      <right style="medium">
        <color rgb="FF000000"/>
      </right>
      <top style="thin">
        <color indexed="64"/>
      </top>
      <bottom/>
      <diagonal/>
    </border>
    <border>
      <left style="medium">
        <color rgb="FF000000"/>
      </left>
      <right style="medium">
        <color rgb="FF000000"/>
      </right>
      <top/>
      <bottom style="thin">
        <color indexed="64"/>
      </bottom>
      <diagonal/>
    </border>
    <border>
      <left/>
      <right style="medium">
        <color rgb="FF000000"/>
      </right>
      <top/>
      <bottom style="thin">
        <color indexed="64"/>
      </bottom>
      <diagonal/>
    </border>
    <border>
      <left/>
      <right style="medium">
        <color rgb="FF000000"/>
      </right>
      <top style="thin">
        <color indexed="64"/>
      </top>
      <bottom style="medium">
        <color rgb="FF000000"/>
      </bottom>
      <diagonal/>
    </border>
    <border>
      <left style="thin">
        <color indexed="64"/>
      </left>
      <right/>
      <top/>
      <bottom/>
      <diagonal/>
    </border>
    <border>
      <left/>
      <right style="thin">
        <color indexed="64"/>
      </right>
      <top/>
      <bottom/>
      <diagonal/>
    </border>
  </borders>
  <cellStyleXfs count="4">
    <xf numFmtId="0" fontId="0" fillId="0" borderId="0"/>
    <xf numFmtId="0" fontId="34" fillId="0" borderId="0"/>
    <xf numFmtId="9" fontId="34" fillId="0" borderId="0" applyFont="0" applyFill="0" applyBorder="0" applyAlignment="0" applyProtection="0"/>
    <xf numFmtId="0" fontId="34" fillId="0" borderId="0" applyFont="0" applyFill="0" applyBorder="0" applyAlignment="0" applyProtection="0"/>
  </cellStyleXfs>
  <cellXfs count="346">
    <xf numFmtId="0" fontId="0" fillId="0" borderId="0" xfId="0"/>
    <xf numFmtId="0" fontId="0" fillId="0" borderId="0" xfId="0" applyAlignment="1">
      <alignment wrapText="1"/>
    </xf>
    <xf numFmtId="10" fontId="0" fillId="0" borderId="0" xfId="0" applyNumberFormat="1"/>
    <xf numFmtId="0" fontId="0" fillId="0" borderId="1" xfId="0" applyBorder="1"/>
    <xf numFmtId="1" fontId="0" fillId="0" borderId="0" xfId="0" applyNumberFormat="1" applyAlignment="1">
      <alignment horizontal="center"/>
    </xf>
    <xf numFmtId="0" fontId="2" fillId="0" borderId="0" xfId="0" applyFont="1" applyFill="1"/>
    <xf numFmtId="0" fontId="2" fillId="0" borderId="0" xfId="0" applyFont="1" applyFill="1" applyBorder="1"/>
    <xf numFmtId="0" fontId="2" fillId="0" borderId="0" xfId="0" applyFont="1" applyFill="1" applyBorder="1" applyAlignment="1">
      <alignment horizontal="center"/>
    </xf>
    <xf numFmtId="0" fontId="4" fillId="0" borderId="0" xfId="0" applyFont="1" applyFill="1"/>
    <xf numFmtId="0" fontId="5" fillId="0" borderId="0" xfId="0" applyFont="1"/>
    <xf numFmtId="0" fontId="4" fillId="0" borderId="2"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2" fillId="0" borderId="5" xfId="0" applyFont="1" applyFill="1" applyBorder="1"/>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 xfId="0" applyFont="1" applyFill="1" applyBorder="1"/>
    <xf numFmtId="0" fontId="2" fillId="0" borderId="0" xfId="0" applyFont="1" applyFill="1" applyBorder="1" applyAlignment="1"/>
    <xf numFmtId="0" fontId="2" fillId="0" borderId="1" xfId="0" applyFont="1" applyFill="1" applyBorder="1" applyAlignment="1"/>
    <xf numFmtId="0" fontId="2" fillId="0" borderId="5" xfId="0" applyFont="1" applyFill="1" applyBorder="1" applyAlignment="1"/>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textRotation="90"/>
    </xf>
    <xf numFmtId="0" fontId="6" fillId="0" borderId="5" xfId="0" applyFont="1" applyFill="1" applyBorder="1"/>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xf numFmtId="0" fontId="6" fillId="0" borderId="1" xfId="0" applyFont="1" applyFill="1" applyBorder="1"/>
    <xf numFmtId="0" fontId="6" fillId="0" borderId="0" xfId="0" applyFont="1" applyFill="1" applyBorder="1"/>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textRotation="90"/>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5" xfId="0" applyFont="1" applyFill="1" applyBorder="1" applyAlignment="1">
      <alignment horizontal="center"/>
    </xf>
    <xf numFmtId="0" fontId="9" fillId="0" borderId="8" xfId="0" applyFont="1" applyFill="1" applyBorder="1" applyAlignment="1">
      <alignment horizontal="center"/>
    </xf>
    <xf numFmtId="0" fontId="9" fillId="0" borderId="0" xfId="0" applyFont="1" applyFill="1" applyBorder="1" applyAlignment="1">
      <alignment horizontal="center"/>
    </xf>
    <xf numFmtId="0" fontId="9" fillId="0" borderId="1" xfId="0" applyFont="1" applyFill="1" applyBorder="1" applyAlignment="1">
      <alignment horizontal="center"/>
    </xf>
    <xf numFmtId="0" fontId="9" fillId="0" borderId="0" xfId="0" applyFont="1" applyFill="1" applyBorder="1" applyAlignment="1">
      <alignment horizontal="center" vertical="center" textRotation="90"/>
    </xf>
    <xf numFmtId="0" fontId="9" fillId="0" borderId="0" xfId="0" applyFont="1" applyFill="1" applyAlignment="1">
      <alignment horizontal="center"/>
    </xf>
    <xf numFmtId="0" fontId="9" fillId="0" borderId="5" xfId="0" applyFont="1" applyFill="1" applyBorder="1"/>
    <xf numFmtId="0" fontId="9" fillId="0" borderId="1" xfId="0" applyFont="1" applyFill="1" applyBorder="1"/>
    <xf numFmtId="0" fontId="9" fillId="0" borderId="0" xfId="0" applyFont="1" applyFill="1" applyBorder="1"/>
    <xf numFmtId="0" fontId="9" fillId="0" borderId="0" xfId="0" applyFont="1" applyFill="1"/>
    <xf numFmtId="0" fontId="2" fillId="0" borderId="9" xfId="0" applyFont="1" applyFill="1" applyBorder="1"/>
    <xf numFmtId="0" fontId="2" fillId="0" borderId="1" xfId="0" applyFont="1" applyFill="1" applyBorder="1" applyAlignment="1">
      <alignment horizontal="center" vertical="center" textRotation="90"/>
    </xf>
    <xf numFmtId="0" fontId="2" fillId="0" borderId="1"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textRotation="90"/>
    </xf>
    <xf numFmtId="0" fontId="9" fillId="0" borderId="1" xfId="0" applyFont="1" applyFill="1" applyBorder="1" applyAlignment="1">
      <alignment horizontal="center" vertical="center" textRotation="90" wrapText="1"/>
    </xf>
    <xf numFmtId="0" fontId="9" fillId="0" borderId="0" xfId="0" applyFont="1" applyFill="1" applyBorder="1" applyAlignment="1">
      <alignment horizontal="center" vertical="center" textRotation="90" wrapText="1"/>
    </xf>
    <xf numFmtId="0" fontId="9" fillId="0" borderId="5" xfId="0" applyFont="1" applyFill="1" applyBorder="1" applyAlignment="1">
      <alignment horizontal="center" vertical="center" textRotation="90" wrapText="1"/>
    </xf>
    <xf numFmtId="0" fontId="11" fillId="0" borderId="5" xfId="0" applyFont="1" applyFill="1" applyBorder="1" applyAlignment="1">
      <alignment horizontal="center" vertical="top"/>
    </xf>
    <xf numFmtId="0" fontId="11" fillId="0" borderId="7" xfId="0" applyFont="1" applyFill="1" applyBorder="1" applyAlignment="1">
      <alignment horizontal="center" vertical="top"/>
    </xf>
    <xf numFmtId="0" fontId="11" fillId="0" borderId="0" xfId="0" applyFont="1" applyFill="1" applyBorder="1" applyAlignment="1">
      <alignment horizontal="center" vertical="top"/>
    </xf>
    <xf numFmtId="0" fontId="11" fillId="0" borderId="1" xfId="0" applyFont="1" applyFill="1" applyBorder="1" applyAlignment="1">
      <alignment horizontal="center" vertical="top"/>
    </xf>
    <xf numFmtId="0" fontId="11" fillId="0" borderId="0" xfId="0" applyFont="1" applyFill="1" applyBorder="1" applyAlignment="1">
      <alignment horizontal="center" vertical="center" textRotation="90"/>
    </xf>
    <xf numFmtId="0" fontId="7" fillId="0" borderId="0" xfId="0" applyFont="1" applyFill="1" applyBorder="1" applyAlignment="1">
      <alignment horizontal="center" vertical="top"/>
    </xf>
    <xf numFmtId="0" fontId="7" fillId="0" borderId="1" xfId="0" applyFont="1" applyFill="1" applyBorder="1" applyAlignment="1">
      <alignment horizontal="center" vertical="top"/>
    </xf>
    <xf numFmtId="0" fontId="7" fillId="0" borderId="5" xfId="0" applyFont="1" applyFill="1" applyBorder="1" applyAlignment="1">
      <alignment horizontal="center" vertical="top"/>
    </xf>
    <xf numFmtId="0" fontId="8" fillId="0" borderId="0" xfId="0" applyFont="1" applyFill="1" applyBorder="1" applyAlignment="1">
      <alignment horizontal="center" vertical="top"/>
    </xf>
    <xf numFmtId="0" fontId="11" fillId="0" borderId="0" xfId="0" applyFont="1" applyFill="1" applyAlignment="1">
      <alignment horizontal="center" vertical="top"/>
    </xf>
    <xf numFmtId="0" fontId="11" fillId="0" borderId="0" xfId="0" applyFont="1" applyFill="1" applyBorder="1"/>
    <xf numFmtId="0" fontId="11" fillId="0" borderId="0" xfId="0" applyFont="1" applyFill="1"/>
    <xf numFmtId="0" fontId="2" fillId="0" borderId="5" xfId="0" applyFont="1" applyFill="1" applyBorder="1" applyAlignment="1">
      <alignment horizontal="center" vertical="top"/>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12" fillId="0" borderId="0" xfId="0" applyFont="1" applyFill="1" applyBorder="1" applyAlignment="1">
      <alignment horizontal="center" vertical="top"/>
    </xf>
    <xf numFmtId="0" fontId="12" fillId="0" borderId="1" xfId="0" applyFont="1" applyFill="1" applyBorder="1" applyAlignment="1">
      <alignment horizontal="center" vertical="top"/>
    </xf>
    <xf numFmtId="0" fontId="12" fillId="0" borderId="5" xfId="0" applyFont="1" applyFill="1" applyBorder="1" applyAlignment="1">
      <alignment horizontal="center" vertical="top"/>
    </xf>
    <xf numFmtId="0" fontId="2" fillId="0" borderId="0" xfId="0" applyFont="1" applyFill="1" applyAlignment="1">
      <alignment horizontal="center" vertical="top"/>
    </xf>
    <xf numFmtId="0" fontId="13" fillId="0" borderId="5" xfId="0" applyFont="1" applyFill="1" applyBorder="1" applyAlignment="1">
      <alignment horizontal="center" vertical="center" wrapText="1"/>
    </xf>
    <xf numFmtId="0" fontId="13" fillId="0" borderId="0" xfId="0" applyFont="1" applyFill="1" applyBorder="1" applyAlignment="1">
      <alignment horizontal="centerContinuous" vertical="center" wrapText="1"/>
    </xf>
    <xf numFmtId="0" fontId="13" fillId="0" borderId="0" xfId="0" applyFont="1" applyFill="1" applyBorder="1"/>
    <xf numFmtId="0" fontId="13" fillId="0" borderId="0" xfId="0" applyFont="1" applyFill="1" applyBorder="1" applyAlignment="1">
      <alignment horizontal="center" vertical="center" textRotation="90"/>
    </xf>
    <xf numFmtId="0" fontId="13" fillId="0" borderId="1" xfId="0" applyFont="1" applyFill="1" applyBorder="1" applyAlignment="1">
      <alignment horizontal="center" vertical="center" textRotation="90"/>
    </xf>
    <xf numFmtId="0" fontId="13" fillId="0" borderId="5" xfId="0" applyFont="1" applyFill="1" applyBorder="1"/>
    <xf numFmtId="0" fontId="13" fillId="0" borderId="0" xfId="0" applyFont="1" applyFill="1" applyBorder="1" applyAlignment="1">
      <alignment horizontal="center" vertical="center" textRotation="90" wrapText="1"/>
    </xf>
    <xf numFmtId="0" fontId="13" fillId="0" borderId="1" xfId="0" applyFont="1" applyFill="1" applyBorder="1" applyAlignment="1">
      <alignment horizontal="center" vertical="center" textRotation="90" wrapText="1"/>
    </xf>
    <xf numFmtId="0" fontId="13" fillId="0" borderId="5" xfId="0" applyFont="1" applyFill="1" applyBorder="1" applyAlignment="1">
      <alignment horizontal="center" vertical="center" textRotation="90" wrapText="1"/>
    </xf>
    <xf numFmtId="0" fontId="13" fillId="0" borderId="0" xfId="0" applyFont="1" applyFill="1"/>
    <xf numFmtId="0" fontId="13" fillId="0" borderId="1" xfId="0" applyFont="1" applyFill="1" applyBorder="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Continuous" vertical="center" wrapText="1"/>
    </xf>
    <xf numFmtId="0" fontId="9" fillId="3" borderId="10" xfId="0" applyFont="1" applyFill="1" applyBorder="1" applyAlignment="1">
      <alignment horizontal="center" vertical="center"/>
    </xf>
    <xf numFmtId="0" fontId="7" fillId="3" borderId="11" xfId="0" applyFont="1" applyFill="1" applyBorder="1" applyAlignment="1"/>
    <xf numFmtId="0" fontId="13" fillId="0" borderId="12" xfId="0" applyFont="1" applyFill="1" applyBorder="1" applyAlignment="1">
      <alignment vertical="top"/>
    </xf>
    <xf numFmtId="0" fontId="13" fillId="0" borderId="13" xfId="0" applyFont="1" applyFill="1" applyBorder="1" applyAlignment="1">
      <alignment horizontal="centerContinuous" vertical="top" wrapText="1"/>
    </xf>
    <xf numFmtId="0" fontId="13" fillId="0" borderId="13" xfId="0" applyFont="1" applyFill="1" applyBorder="1" applyAlignment="1">
      <alignment vertical="top"/>
    </xf>
    <xf numFmtId="0" fontId="13" fillId="0" borderId="14" xfId="0" applyFont="1" applyFill="1" applyBorder="1" applyAlignment="1">
      <alignment vertical="top"/>
    </xf>
    <xf numFmtId="0" fontId="13" fillId="0" borderId="0" xfId="0" applyFont="1" applyFill="1" applyBorder="1" applyAlignment="1">
      <alignment vertical="top"/>
    </xf>
    <xf numFmtId="0" fontId="13" fillId="0" borderId="15" xfId="0" applyFont="1" applyFill="1" applyBorder="1" applyAlignment="1">
      <alignment vertical="top"/>
    </xf>
    <xf numFmtId="0" fontId="13" fillId="0" borderId="0" xfId="0" applyFont="1" applyFill="1" applyAlignment="1">
      <alignment vertical="top"/>
    </xf>
    <xf numFmtId="0" fontId="2" fillId="0" borderId="0" xfId="0" applyFont="1" applyFill="1" applyBorder="1" applyAlignment="1">
      <alignment shrinkToFit="1"/>
    </xf>
    <xf numFmtId="0" fontId="7" fillId="0" borderId="0" xfId="0" applyFont="1" applyFill="1" applyBorder="1" applyAlignment="1">
      <alignment horizontal="center" vertical="center" textRotation="90"/>
    </xf>
    <xf numFmtId="0" fontId="7" fillId="0" borderId="0" xfId="0" applyFont="1" applyFill="1" applyBorder="1" applyAlignment="1">
      <alignment horizontal="center"/>
    </xf>
    <xf numFmtId="0" fontId="0" fillId="0" borderId="0" xfId="0" applyBorder="1" applyAlignment="1">
      <alignment shrinkToFit="1"/>
    </xf>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14" fillId="0" borderId="0" xfId="0" applyFont="1" applyBorder="1" applyAlignment="1">
      <alignment shrinkToFit="1"/>
    </xf>
    <xf numFmtId="0" fontId="1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0" fillId="4" borderId="0" xfId="0" applyFill="1"/>
    <xf numFmtId="0" fontId="0" fillId="0" borderId="0" xfId="0" applyAlignment="1"/>
    <xf numFmtId="0" fontId="0" fillId="5" borderId="0" xfId="0" applyFill="1"/>
    <xf numFmtId="0" fontId="0" fillId="0" borderId="0" xfId="0" applyFill="1"/>
    <xf numFmtId="0" fontId="0" fillId="2" borderId="0" xfId="0" applyFill="1"/>
    <xf numFmtId="0" fontId="0" fillId="0" borderId="5" xfId="0" applyFill="1" applyBorder="1"/>
    <xf numFmtId="0" fontId="0" fillId="0" borderId="1" xfId="0" applyBorder="1" applyAlignment="1">
      <alignment wrapText="1"/>
    </xf>
    <xf numFmtId="0" fontId="0" fillId="6" borderId="0" xfId="0" applyFill="1"/>
    <xf numFmtId="0" fontId="0" fillId="0" borderId="5" xfId="0" applyBorder="1"/>
    <xf numFmtId="0" fontId="16" fillId="0" borderId="0" xfId="0" applyFont="1"/>
    <xf numFmtId="0" fontId="16" fillId="7" borderId="5" xfId="0" applyFont="1" applyFill="1" applyBorder="1"/>
    <xf numFmtId="0" fontId="0" fillId="8" borderId="0" xfId="0" applyFill="1"/>
    <xf numFmtId="0" fontId="0" fillId="9" borderId="0" xfId="0" applyFill="1"/>
    <xf numFmtId="0" fontId="16" fillId="8" borderId="5" xfId="0" applyFont="1" applyFill="1" applyBorder="1"/>
    <xf numFmtId="0" fontId="18" fillId="0" borderId="0" xfId="0" applyFont="1"/>
    <xf numFmtId="10" fontId="18" fillId="0" borderId="0" xfId="0" applyNumberFormat="1" applyFont="1"/>
    <xf numFmtId="0" fontId="0" fillId="10" borderId="0" xfId="0" applyFill="1"/>
    <xf numFmtId="0" fontId="19" fillId="0" borderId="0" xfId="0" applyFont="1"/>
    <xf numFmtId="0" fontId="0" fillId="11" borderId="0" xfId="0" applyFill="1"/>
    <xf numFmtId="0" fontId="0" fillId="12" borderId="0" xfId="0" applyFill="1"/>
    <xf numFmtId="0" fontId="0" fillId="13" borderId="0" xfId="0" applyFill="1"/>
    <xf numFmtId="2" fontId="0" fillId="0" borderId="0" xfId="0" applyNumberFormat="1" applyAlignment="1">
      <alignment horizontal="right"/>
    </xf>
    <xf numFmtId="2" fontId="0" fillId="13" borderId="0" xfId="0" applyNumberFormat="1" applyFill="1" applyAlignment="1">
      <alignment horizontal="right"/>
    </xf>
    <xf numFmtId="2" fontId="0" fillId="5" borderId="0" xfId="0" applyNumberFormat="1" applyFill="1" applyAlignment="1">
      <alignment horizontal="right"/>
    </xf>
    <xf numFmtId="2" fontId="0" fillId="2" borderId="0" xfId="0" applyNumberFormat="1" applyFill="1" applyAlignment="1">
      <alignment horizontal="right"/>
    </xf>
    <xf numFmtId="2" fontId="0" fillId="12" borderId="0" xfId="0" applyNumberFormat="1" applyFill="1" applyAlignment="1">
      <alignment horizontal="right"/>
    </xf>
    <xf numFmtId="2" fontId="0" fillId="11" borderId="0" xfId="0" applyNumberFormat="1" applyFill="1" applyAlignment="1">
      <alignment horizontal="right"/>
    </xf>
    <xf numFmtId="0" fontId="0" fillId="0" borderId="0" xfId="0" applyAlignment="1">
      <alignment horizontal="right"/>
    </xf>
    <xf numFmtId="0" fontId="0" fillId="14" borderId="0" xfId="0" applyFill="1"/>
    <xf numFmtId="2" fontId="0" fillId="14" borderId="0" xfId="0" applyNumberFormat="1" applyFill="1" applyAlignment="1">
      <alignment horizontal="right"/>
    </xf>
    <xf numFmtId="0" fontId="0" fillId="14" borderId="0" xfId="0" applyFill="1" applyAlignment="1">
      <alignment horizontal="right"/>
    </xf>
    <xf numFmtId="0" fontId="0" fillId="15" borderId="0" xfId="0" applyFill="1"/>
    <xf numFmtId="2" fontId="0" fillId="0" borderId="0" xfId="0" applyNumberFormat="1"/>
    <xf numFmtId="0" fontId="0" fillId="16" borderId="0" xfId="0" applyFill="1"/>
    <xf numFmtId="0" fontId="0" fillId="17" borderId="0" xfId="0" applyFill="1"/>
    <xf numFmtId="165" fontId="0" fillId="13" borderId="0" xfId="0" applyNumberFormat="1" applyFill="1"/>
    <xf numFmtId="165" fontId="0" fillId="16" borderId="0" xfId="0" applyNumberFormat="1" applyFill="1"/>
    <xf numFmtId="165" fontId="0" fillId="17" borderId="0" xfId="0" applyNumberFormat="1" applyFill="1"/>
    <xf numFmtId="165" fontId="0" fillId="2" borderId="0" xfId="0" applyNumberFormat="1" applyFill="1"/>
    <xf numFmtId="165" fontId="0" fillId="12" borderId="0" xfId="0" applyNumberFormat="1" applyFill="1"/>
    <xf numFmtId="165" fontId="0" fillId="11" borderId="0" xfId="0" applyNumberFormat="1" applyFill="1"/>
    <xf numFmtId="165" fontId="0" fillId="0" borderId="0" xfId="0" applyNumberFormat="1"/>
    <xf numFmtId="166" fontId="0" fillId="13" borderId="0" xfId="0" applyNumberFormat="1" applyFill="1"/>
    <xf numFmtId="166" fontId="0" fillId="16" borderId="0" xfId="0" applyNumberFormat="1" applyFill="1"/>
    <xf numFmtId="166" fontId="0" fillId="5" borderId="0" xfId="0" applyNumberFormat="1" applyFill="1"/>
    <xf numFmtId="166" fontId="0" fillId="2" borderId="0" xfId="0" applyNumberFormat="1" applyFill="1"/>
    <xf numFmtId="166" fontId="0" fillId="12" borderId="0" xfId="0" applyNumberFormat="1" applyFill="1"/>
    <xf numFmtId="166" fontId="0" fillId="11" borderId="0" xfId="0" applyNumberFormat="1" applyFill="1"/>
    <xf numFmtId="166" fontId="0" fillId="0" borderId="0" xfId="0" applyNumberFormat="1"/>
    <xf numFmtId="0" fontId="23" fillId="0" borderId="0" xfId="0" applyFont="1" applyAlignment="1">
      <alignment horizontal="justify"/>
    </xf>
    <xf numFmtId="0" fontId="24" fillId="18" borderId="28" xfId="0" applyFont="1" applyFill="1" applyBorder="1" applyAlignment="1">
      <alignment horizontal="justify" vertical="top" wrapText="1"/>
    </xf>
    <xf numFmtId="0" fontId="25" fillId="20" borderId="29" xfId="0" applyFont="1" applyFill="1" applyBorder="1" applyAlignment="1">
      <alignment horizontal="justify" vertical="top" wrapText="1"/>
    </xf>
    <xf numFmtId="0" fontId="25" fillId="21" borderId="29" xfId="0" applyFont="1" applyFill="1" applyBorder="1" applyAlignment="1">
      <alignment horizontal="justify" vertical="top" wrapText="1"/>
    </xf>
    <xf numFmtId="0" fontId="25" fillId="21" borderId="31" xfId="0" applyFont="1" applyFill="1" applyBorder="1" applyAlignment="1">
      <alignment horizontal="justify" vertical="top"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2" borderId="19"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34" xfId="0" applyFill="1" applyBorder="1" applyAlignment="1">
      <alignment horizontal="center" vertical="center" wrapText="1"/>
    </xf>
    <xf numFmtId="0" fontId="0" fillId="8" borderId="19" xfId="0" applyFill="1" applyBorder="1" applyAlignment="1">
      <alignment horizontal="center" vertical="center" wrapText="1"/>
    </xf>
    <xf numFmtId="0" fontId="0" fillId="0" borderId="0" xfId="0" applyAlignment="1">
      <alignment horizontal="center"/>
    </xf>
    <xf numFmtId="0" fontId="26" fillId="0" borderId="35" xfId="0" applyFont="1" applyBorder="1" applyAlignment="1">
      <alignment horizontal="center"/>
    </xf>
    <xf numFmtId="0" fontId="26" fillId="0" borderId="36" xfId="0" applyFont="1" applyBorder="1" applyAlignment="1">
      <alignment horizontal="center"/>
    </xf>
    <xf numFmtId="0" fontId="26" fillId="0" borderId="37" xfId="0" applyFont="1" applyBorder="1" applyAlignment="1">
      <alignment horizontal="center" wrapText="1"/>
    </xf>
    <xf numFmtId="0" fontId="0" fillId="0" borderId="22" xfId="0" applyBorder="1"/>
    <xf numFmtId="0" fontId="0" fillId="0" borderId="39" xfId="0" applyBorder="1" applyAlignment="1">
      <alignment wrapText="1"/>
    </xf>
    <xf numFmtId="14" fontId="14" fillId="0" borderId="33" xfId="0" applyNumberFormat="1" applyFont="1" applyBorder="1" applyAlignment="1">
      <alignment horizontal="center"/>
    </xf>
    <xf numFmtId="0" fontId="0" fillId="0" borderId="40" xfId="0" applyBorder="1"/>
    <xf numFmtId="0" fontId="0" fillId="0" borderId="41" xfId="0" applyBorder="1" applyAlignment="1">
      <alignment wrapText="1"/>
    </xf>
    <xf numFmtId="14" fontId="0" fillId="0" borderId="33" xfId="0" applyNumberFormat="1" applyBorder="1" applyAlignment="1">
      <alignment horizontal="center"/>
    </xf>
    <xf numFmtId="0" fontId="0" fillId="0" borderId="33" xfId="0" applyBorder="1" applyAlignment="1">
      <alignment horizontal="center"/>
    </xf>
    <xf numFmtId="0" fontId="0" fillId="0" borderId="42" xfId="0" applyBorder="1" applyAlignment="1">
      <alignment horizontal="center"/>
    </xf>
    <xf numFmtId="0" fontId="0" fillId="0" borderId="43" xfId="0" applyBorder="1"/>
    <xf numFmtId="0" fontId="0" fillId="0" borderId="44" xfId="0" applyBorder="1" applyAlignment="1">
      <alignment wrapText="1"/>
    </xf>
    <xf numFmtId="14" fontId="0" fillId="0" borderId="38" xfId="0" applyNumberFormat="1" applyBorder="1" applyAlignment="1">
      <alignment horizontal="center"/>
    </xf>
    <xf numFmtId="0" fontId="27" fillId="0" borderId="0" xfId="0" applyFont="1"/>
    <xf numFmtId="0" fontId="0" fillId="0" borderId="0" xfId="0" applyAlignment="1">
      <alignment horizontal="center" vertical="center" wrapText="1"/>
    </xf>
    <xf numFmtId="0" fontId="24" fillId="18" borderId="0" xfId="0" applyFont="1" applyFill="1" applyBorder="1" applyAlignment="1">
      <alignment horizontal="center" vertical="center" wrapText="1"/>
    </xf>
    <xf numFmtId="0" fontId="24" fillId="19" borderId="47" xfId="0" applyFont="1" applyFill="1" applyBorder="1" applyAlignment="1">
      <alignment horizontal="justify" vertical="top" wrapText="1"/>
    </xf>
    <xf numFmtId="0" fontId="24" fillId="19" borderId="49" xfId="0" applyFont="1" applyFill="1" applyBorder="1" applyAlignment="1">
      <alignment horizontal="justify" vertical="top" wrapText="1"/>
    </xf>
    <xf numFmtId="0" fontId="24" fillId="19" borderId="45" xfId="0" applyFont="1" applyFill="1" applyBorder="1" applyAlignment="1">
      <alignment horizontal="center" vertical="center" wrapText="1"/>
    </xf>
    <xf numFmtId="0" fontId="24" fillId="19" borderId="50" xfId="0" applyFont="1" applyFill="1" applyBorder="1" applyAlignment="1">
      <alignment horizontal="center" vertical="center" wrapText="1"/>
    </xf>
    <xf numFmtId="0" fontId="25" fillId="21" borderId="0" xfId="0" applyFont="1" applyFill="1" applyBorder="1" applyAlignment="1">
      <alignment horizontal="justify" vertical="top" wrapText="1"/>
    </xf>
    <xf numFmtId="2" fontId="25" fillId="21" borderId="0" xfId="0" applyNumberFormat="1" applyFont="1" applyFill="1" applyBorder="1" applyAlignment="1">
      <alignment horizontal="justify" vertical="top" wrapText="1"/>
    </xf>
    <xf numFmtId="0" fontId="0" fillId="0" borderId="0" xfId="0" applyAlignment="1">
      <alignment vertical="top" wrapText="1"/>
    </xf>
    <xf numFmtId="0" fontId="0" fillId="0" borderId="0" xfId="0" applyAlignment="1">
      <alignment horizontal="center" vertical="top" wrapText="1"/>
    </xf>
    <xf numFmtId="0" fontId="16" fillId="0" borderId="5" xfId="0" applyFont="1" applyBorder="1" applyAlignment="1">
      <alignment vertical="top" wrapText="1"/>
    </xf>
    <xf numFmtId="0" fontId="17" fillId="0" borderId="0" xfId="0" applyFont="1" applyAlignment="1">
      <alignment horizontal="center" vertical="top" wrapText="1"/>
    </xf>
    <xf numFmtId="0" fontId="28" fillId="0" borderId="0" xfId="0" applyFont="1" applyAlignment="1">
      <alignment horizontal="center"/>
    </xf>
    <xf numFmtId="1" fontId="0" fillId="5" borderId="0" xfId="0" applyNumberFormat="1" applyFill="1" applyAlignment="1">
      <alignment horizontal="left" indent="4"/>
    </xf>
    <xf numFmtId="167" fontId="0" fillId="0" borderId="0" xfId="0" applyNumberFormat="1"/>
    <xf numFmtId="0" fontId="0" fillId="23" borderId="0" xfId="0" applyFill="1"/>
    <xf numFmtId="164" fontId="0" fillId="24" borderId="0" xfId="0" applyNumberFormat="1" applyFill="1"/>
    <xf numFmtId="164" fontId="0" fillId="12" borderId="0" xfId="0" applyNumberFormat="1" applyFill="1"/>
    <xf numFmtId="164" fontId="0" fillId="2" borderId="0" xfId="0" applyNumberFormat="1" applyFill="1"/>
    <xf numFmtId="164" fontId="0" fillId="5" borderId="0" xfId="0" applyNumberFormat="1" applyFill="1"/>
    <xf numFmtId="164" fontId="0" fillId="25" borderId="0" xfId="0" applyNumberFormat="1" applyFill="1"/>
    <xf numFmtId="164" fontId="0" fillId="13" borderId="0" xfId="0" applyNumberFormat="1" applyFill="1"/>
    <xf numFmtId="0" fontId="0" fillId="2" borderId="0" xfId="0" applyFill="1" applyAlignment="1"/>
    <xf numFmtId="0" fontId="1" fillId="0" borderId="0" xfId="0" applyFont="1"/>
    <xf numFmtId="0" fontId="16" fillId="2" borderId="0" xfId="0" applyFont="1" applyFill="1"/>
    <xf numFmtId="0" fontId="32" fillId="0" borderId="0" xfId="0" applyFont="1" applyFill="1"/>
    <xf numFmtId="0" fontId="16" fillId="0" borderId="0" xfId="0" applyFont="1" applyFill="1"/>
    <xf numFmtId="2" fontId="0" fillId="8" borderId="0" xfId="0" applyNumberFormat="1" applyFill="1"/>
    <xf numFmtId="1" fontId="0" fillId="8" borderId="0" xfId="0" applyNumberFormat="1" applyFill="1"/>
    <xf numFmtId="2" fontId="33" fillId="8" borderId="0" xfId="0" applyNumberFormat="1" applyFont="1" applyFill="1"/>
    <xf numFmtId="0" fontId="17" fillId="8" borderId="0" xfId="0" applyFont="1" applyFill="1"/>
    <xf numFmtId="0" fontId="35" fillId="26" borderId="40" xfId="1" applyFont="1" applyFill="1" applyBorder="1" applyAlignment="1">
      <alignment horizontal="center" vertical="center" wrapText="1"/>
    </xf>
    <xf numFmtId="0" fontId="35" fillId="26" borderId="40" xfId="1" applyFont="1" applyFill="1" applyBorder="1" applyAlignment="1">
      <alignment horizontal="center" vertical="center"/>
    </xf>
    <xf numFmtId="0" fontId="36" fillId="26" borderId="40" xfId="1" applyFont="1" applyFill="1" applyBorder="1" applyAlignment="1">
      <alignment horizontal="center" vertical="center" wrapText="1"/>
    </xf>
    <xf numFmtId="0" fontId="37" fillId="26" borderId="40" xfId="1" applyFont="1" applyFill="1" applyBorder="1" applyAlignment="1">
      <alignment horizontal="center" vertical="center" wrapText="1"/>
    </xf>
    <xf numFmtId="0" fontId="38" fillId="26" borderId="40" xfId="1" applyFont="1" applyFill="1" applyBorder="1" applyAlignment="1">
      <alignment horizontal="center"/>
    </xf>
    <xf numFmtId="168" fontId="34" fillId="27" borderId="40" xfId="1" applyNumberFormat="1" applyFont="1" applyFill="1" applyBorder="1" applyAlignment="1">
      <alignment horizontal="center"/>
    </xf>
    <xf numFmtId="3" fontId="34" fillId="27" borderId="40" xfId="1" applyNumberFormat="1" applyFont="1" applyFill="1" applyBorder="1" applyAlignment="1">
      <alignment horizontal="center"/>
    </xf>
    <xf numFmtId="3" fontId="39" fillId="0" borderId="40" xfId="1" applyNumberFormat="1" applyFont="1" applyFill="1" applyBorder="1" applyAlignment="1">
      <alignment horizontal="center"/>
    </xf>
    <xf numFmtId="3" fontId="34" fillId="9" borderId="40" xfId="1" applyNumberFormat="1" applyFont="1" applyFill="1" applyBorder="1" applyAlignment="1">
      <alignment horizontal="center"/>
    </xf>
    <xf numFmtId="3" fontId="34" fillId="0" borderId="40" xfId="1" applyNumberFormat="1" applyFont="1" applyFill="1" applyBorder="1" applyAlignment="1">
      <alignment horizontal="center"/>
    </xf>
    <xf numFmtId="3" fontId="34" fillId="28" borderId="40" xfId="1" applyNumberFormat="1" applyFill="1" applyBorder="1" applyAlignment="1">
      <alignment horizontal="center"/>
    </xf>
    <xf numFmtId="3" fontId="34" fillId="28" borderId="40" xfId="1" applyNumberFormat="1" applyFill="1" applyBorder="1" applyAlignment="1">
      <alignment horizontal="right"/>
    </xf>
    <xf numFmtId="3" fontId="34" fillId="28" borderId="40" xfId="1" applyNumberFormat="1" applyFill="1" applyBorder="1"/>
    <xf numFmtId="0" fontId="40" fillId="12" borderId="19" xfId="1" applyFont="1" applyFill="1" applyBorder="1" applyAlignment="1">
      <alignment horizontal="center" vertical="center"/>
    </xf>
    <xf numFmtId="0" fontId="40" fillId="12" borderId="20" xfId="1" applyFont="1" applyFill="1" applyBorder="1" applyAlignment="1">
      <alignment horizontal="center" vertical="center"/>
    </xf>
    <xf numFmtId="0" fontId="41" fillId="29" borderId="0" xfId="1" applyFont="1" applyFill="1" applyBorder="1"/>
    <xf numFmtId="0" fontId="42" fillId="29" borderId="0" xfId="1" applyFont="1" applyFill="1" applyBorder="1" applyAlignment="1">
      <alignment horizontal="right"/>
    </xf>
    <xf numFmtId="0" fontId="42" fillId="29" borderId="0" xfId="1" applyFont="1" applyFill="1" applyBorder="1" applyAlignment="1">
      <alignment horizontal="center"/>
    </xf>
    <xf numFmtId="0" fontId="43" fillId="29" borderId="0" xfId="1" applyFont="1" applyFill="1" applyBorder="1" applyAlignment="1">
      <alignment horizontal="left"/>
    </xf>
    <xf numFmtId="0" fontId="43" fillId="29" borderId="0" xfId="1" applyFont="1" applyFill="1" applyBorder="1"/>
    <xf numFmtId="0" fontId="36" fillId="29" borderId="0" xfId="1" applyFont="1" applyFill="1" applyBorder="1"/>
    <xf numFmtId="0" fontId="36" fillId="29" borderId="0" xfId="1" applyFont="1" applyFill="1" applyBorder="1" applyAlignment="1">
      <alignment horizontal="center"/>
    </xf>
    <xf numFmtId="0" fontId="41" fillId="29" borderId="0" xfId="1" applyFont="1" applyFill="1"/>
    <xf numFmtId="0" fontId="43" fillId="29" borderId="0" xfId="1" applyFont="1" applyFill="1" applyBorder="1" applyAlignment="1">
      <alignment horizontal="right"/>
    </xf>
    <xf numFmtId="169" fontId="36" fillId="0" borderId="0" xfId="2" applyNumberFormat="1" applyFont="1" applyFill="1" applyBorder="1" applyAlignment="1">
      <alignment horizontal="right"/>
    </xf>
    <xf numFmtId="170" fontId="36" fillId="29" borderId="0" xfId="1" applyNumberFormat="1" applyFont="1" applyFill="1" applyBorder="1" applyAlignment="1">
      <alignment horizontal="center"/>
    </xf>
    <xf numFmtId="0" fontId="43" fillId="29" borderId="0" xfId="1" applyFont="1" applyFill="1"/>
    <xf numFmtId="0" fontId="43" fillId="29" borderId="23" xfId="1" applyFont="1" applyFill="1" applyBorder="1" applyAlignment="1">
      <alignment horizontal="left"/>
    </xf>
    <xf numFmtId="0" fontId="43" fillId="29" borderId="7" xfId="1" applyFont="1" applyFill="1" applyBorder="1"/>
    <xf numFmtId="0" fontId="45" fillId="29" borderId="7" xfId="1" applyFont="1" applyFill="1" applyBorder="1"/>
    <xf numFmtId="0" fontId="43" fillId="29" borderId="7" xfId="1" applyFont="1" applyFill="1" applyBorder="1" applyAlignment="1">
      <alignment horizontal="right"/>
    </xf>
    <xf numFmtId="0" fontId="36" fillId="29" borderId="7" xfId="1" applyFont="1" applyFill="1" applyBorder="1"/>
    <xf numFmtId="0" fontId="36" fillId="29" borderId="7" xfId="1" applyFont="1" applyFill="1" applyBorder="1" applyAlignment="1">
      <alignment horizontal="center"/>
    </xf>
    <xf numFmtId="0" fontId="41" fillId="29" borderId="7" xfId="1" applyFont="1" applyFill="1" applyBorder="1"/>
    <xf numFmtId="170" fontId="36" fillId="0" borderId="7" xfId="3" applyNumberFormat="1" applyFont="1" applyFill="1" applyBorder="1" applyAlignment="1">
      <alignment horizontal="center"/>
    </xf>
    <xf numFmtId="170" fontId="36" fillId="29" borderId="24" xfId="1" applyNumberFormat="1" applyFont="1" applyFill="1" applyBorder="1" applyAlignment="1">
      <alignment horizontal="center"/>
    </xf>
    <xf numFmtId="0" fontId="43" fillId="29" borderId="25" xfId="1" applyFont="1" applyFill="1" applyBorder="1" applyAlignment="1">
      <alignment horizontal="left"/>
    </xf>
    <xf numFmtId="0" fontId="43" fillId="29" borderId="8" xfId="1" applyFont="1" applyFill="1" applyBorder="1"/>
    <xf numFmtId="0" fontId="45" fillId="29" borderId="8" xfId="1" applyFont="1" applyFill="1" applyBorder="1"/>
    <xf numFmtId="0" fontId="43" fillId="29" borderId="8" xfId="1" applyFont="1" applyFill="1" applyBorder="1" applyAlignment="1">
      <alignment horizontal="right"/>
    </xf>
    <xf numFmtId="0" fontId="36" fillId="29" borderId="8" xfId="1" applyFont="1" applyFill="1" applyBorder="1"/>
    <xf numFmtId="0" fontId="36" fillId="29" borderId="8" xfId="1" applyFont="1" applyFill="1" applyBorder="1" applyAlignment="1">
      <alignment horizontal="center"/>
    </xf>
    <xf numFmtId="0" fontId="41" fillId="29" borderId="8" xfId="1" applyFont="1" applyFill="1" applyBorder="1"/>
    <xf numFmtId="170" fontId="36" fillId="0" borderId="8" xfId="3" applyNumberFormat="1" applyFont="1" applyFill="1" applyBorder="1" applyAlignment="1">
      <alignment horizontal="center"/>
    </xf>
    <xf numFmtId="170" fontId="36" fillId="29" borderId="26" xfId="1" applyNumberFormat="1" applyFont="1" applyFill="1" applyBorder="1" applyAlignment="1">
      <alignment horizontal="center"/>
    </xf>
    <xf numFmtId="0" fontId="43" fillId="29" borderId="51" xfId="1" applyFont="1" applyFill="1" applyBorder="1" applyAlignment="1">
      <alignment horizontal="left" vertical="center"/>
    </xf>
    <xf numFmtId="0" fontId="36" fillId="29" borderId="0" xfId="1" applyFont="1" applyFill="1" applyBorder="1" applyAlignment="1">
      <alignment horizontal="right"/>
    </xf>
    <xf numFmtId="0" fontId="36" fillId="29" borderId="0" xfId="1" applyFont="1" applyFill="1" applyBorder="1" applyAlignment="1">
      <alignment horizontal="right" vertical="center"/>
    </xf>
    <xf numFmtId="0" fontId="43" fillId="29" borderId="0" xfId="1" applyFont="1" applyFill="1" applyBorder="1" applyAlignment="1">
      <alignment horizontal="right" vertical="center"/>
    </xf>
    <xf numFmtId="170" fontId="36" fillId="0" borderId="0" xfId="3" applyNumberFormat="1" applyFont="1" applyFill="1" applyBorder="1" applyAlignment="1">
      <alignment horizontal="center"/>
    </xf>
    <xf numFmtId="0" fontId="36" fillId="29" borderId="52" xfId="1" applyFont="1" applyFill="1" applyBorder="1" applyAlignment="1">
      <alignment horizontal="left" vertical="center"/>
    </xf>
    <xf numFmtId="0" fontId="43" fillId="29" borderId="25" xfId="1" applyFont="1" applyFill="1" applyBorder="1" applyAlignment="1">
      <alignment horizontal="left" vertical="center"/>
    </xf>
    <xf numFmtId="0" fontId="36" fillId="29" borderId="8" xfId="1" applyFont="1" applyFill="1" applyBorder="1" applyAlignment="1">
      <alignment horizontal="right"/>
    </xf>
    <xf numFmtId="0" fontId="36" fillId="29" borderId="8" xfId="1" applyFont="1" applyFill="1" applyBorder="1" applyAlignment="1">
      <alignment horizontal="right" vertical="center"/>
    </xf>
    <xf numFmtId="0" fontId="43" fillId="29" borderId="8" xfId="1" applyFont="1" applyFill="1" applyBorder="1" applyAlignment="1">
      <alignment horizontal="right" vertical="center"/>
    </xf>
    <xf numFmtId="0" fontId="36" fillId="29" borderId="26" xfId="1" applyFont="1" applyFill="1" applyBorder="1" applyAlignment="1">
      <alignment horizontal="left" vertical="center"/>
    </xf>
    <xf numFmtId="2" fontId="0" fillId="2" borderId="0" xfId="0" applyNumberFormat="1" applyFill="1"/>
    <xf numFmtId="0" fontId="40" fillId="12" borderId="18" xfId="1" applyFont="1" applyFill="1" applyBorder="1" applyAlignment="1">
      <alignment horizontal="left" vertical="center"/>
    </xf>
    <xf numFmtId="0" fontId="3"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8" xfId="0" applyFont="1" applyFill="1" applyBorder="1" applyAlignment="1">
      <alignment horizontal="center" vertical="center" wrapText="1"/>
    </xf>
    <xf numFmtId="0" fontId="4" fillId="0"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xf>
    <xf numFmtId="0" fontId="8"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9" fillId="0" borderId="0" xfId="0" applyFont="1" applyFill="1" applyBorder="1" applyAlignment="1">
      <alignment horizontal="center"/>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0" fillId="0" borderId="22" xfId="0" applyFont="1" applyBorder="1" applyAlignment="1">
      <alignment vertical="center"/>
    </xf>
    <xf numFmtId="0" fontId="7" fillId="0" borderId="0" xfId="0" applyFont="1" applyFill="1" applyBorder="1" applyAlignment="1">
      <alignment horizontal="center" vertical="top"/>
    </xf>
    <xf numFmtId="0" fontId="7" fillId="2" borderId="11"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27" xfId="0" applyFont="1" applyFill="1" applyBorder="1" applyAlignment="1">
      <alignment horizontal="center" vertical="center"/>
    </xf>
    <xf numFmtId="0" fontId="7" fillId="5" borderId="21" xfId="0" applyFont="1" applyFill="1" applyBorder="1" applyAlignment="1">
      <alignment horizontal="center" vertical="center" textRotation="90" wrapText="1"/>
    </xf>
    <xf numFmtId="0" fontId="7" fillId="5" borderId="22" xfId="0" applyFont="1" applyFill="1" applyBorder="1" applyAlignment="1">
      <alignment horizontal="center" vertical="center" textRotation="90" wrapText="1"/>
    </xf>
    <xf numFmtId="0" fontId="7" fillId="7" borderId="21" xfId="0" applyFont="1" applyFill="1" applyBorder="1" applyAlignment="1">
      <alignment horizontal="center" vertical="center" textRotation="90" wrapText="1"/>
    </xf>
    <xf numFmtId="0" fontId="7" fillId="7" borderId="22" xfId="0" applyFont="1" applyFill="1" applyBorder="1" applyAlignment="1">
      <alignment horizontal="center" vertical="center" textRotation="90" wrapText="1"/>
    </xf>
    <xf numFmtId="0" fontId="7" fillId="5" borderId="23" xfId="0" applyFont="1" applyFill="1" applyBorder="1" applyAlignment="1">
      <alignment horizontal="center" vertical="center" textRotation="90" wrapText="1"/>
    </xf>
    <xf numFmtId="0" fontId="7" fillId="5" borderId="7" xfId="0" applyFont="1" applyFill="1" applyBorder="1" applyAlignment="1">
      <alignment horizontal="center" vertical="center" textRotation="90" wrapText="1"/>
    </xf>
    <xf numFmtId="0" fontId="7" fillId="5" borderId="24" xfId="0" applyFont="1" applyFill="1" applyBorder="1" applyAlignment="1">
      <alignment horizontal="center" vertical="center" textRotation="90" wrapText="1"/>
    </xf>
    <xf numFmtId="0" fontId="7" fillId="5" borderId="25" xfId="0" applyFont="1" applyFill="1" applyBorder="1" applyAlignment="1">
      <alignment horizontal="center" vertical="center" textRotation="90" wrapText="1"/>
    </xf>
    <xf numFmtId="0" fontId="7" fillId="5" borderId="8" xfId="0" applyFont="1" applyFill="1" applyBorder="1" applyAlignment="1">
      <alignment horizontal="center" vertical="center" textRotation="90" wrapText="1"/>
    </xf>
    <xf numFmtId="0" fontId="7" fillId="5" borderId="26" xfId="0" applyFont="1" applyFill="1" applyBorder="1" applyAlignment="1">
      <alignment horizontal="center" vertical="center" textRotation="90" wrapText="1"/>
    </xf>
    <xf numFmtId="0" fontId="7" fillId="3" borderId="11"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27" xfId="0" applyFont="1" applyFill="1" applyBorder="1" applyAlignment="1">
      <alignment horizontal="center" vertical="center"/>
    </xf>
    <xf numFmtId="0" fontId="7" fillId="0" borderId="13" xfId="0" applyFont="1" applyFill="1" applyBorder="1" applyAlignment="1">
      <alignment horizontal="center" vertical="top"/>
    </xf>
    <xf numFmtId="0" fontId="7" fillId="0" borderId="0" xfId="0" applyFont="1" applyFill="1" applyBorder="1" applyAlignment="1">
      <alignment horizontal="center" vertical="center"/>
    </xf>
    <xf numFmtId="0" fontId="7" fillId="4" borderId="21" xfId="0" applyFont="1" applyFill="1" applyBorder="1" applyAlignment="1">
      <alignment horizontal="center" vertical="center" textRotation="90" wrapText="1"/>
    </xf>
    <xf numFmtId="0" fontId="7" fillId="4" borderId="22" xfId="0" applyFont="1" applyFill="1" applyBorder="1" applyAlignment="1">
      <alignment horizontal="center" vertical="center" textRotation="90" wrapText="1"/>
    </xf>
    <xf numFmtId="0" fontId="7" fillId="4" borderId="21" xfId="0" applyFont="1" applyFill="1" applyBorder="1" applyAlignment="1">
      <alignment horizontal="center" vertical="center" textRotation="90"/>
    </xf>
    <xf numFmtId="0" fontId="7" fillId="4" borderId="22" xfId="0" applyFont="1" applyFill="1" applyBorder="1" applyAlignment="1">
      <alignment horizontal="center" vertical="center" textRotation="90"/>
    </xf>
    <xf numFmtId="0" fontId="24" fillId="19" borderId="46" xfId="0" applyFont="1" applyFill="1" applyBorder="1" applyAlignment="1">
      <alignment horizontal="justify" vertical="top" wrapText="1"/>
    </xf>
    <xf numFmtId="0" fontId="24" fillId="19" borderId="48" xfId="0" applyFont="1" applyFill="1" applyBorder="1" applyAlignment="1">
      <alignment horizontal="justify" vertical="top" wrapText="1"/>
    </xf>
    <xf numFmtId="0" fontId="24" fillId="18" borderId="30" xfId="0" applyFont="1" applyFill="1" applyBorder="1" applyAlignment="1">
      <alignment horizontal="justify" vertical="top" wrapText="1"/>
    </xf>
    <xf numFmtId="0" fontId="24" fillId="18" borderId="32" xfId="0" applyFont="1" applyFill="1" applyBorder="1" applyAlignment="1">
      <alignment horizontal="justify" vertical="top" wrapText="1"/>
    </xf>
    <xf numFmtId="0" fontId="46" fillId="0" borderId="0" xfId="0" applyFont="1" applyAlignment="1">
      <alignment vertical="center"/>
    </xf>
    <xf numFmtId="0" fontId="47" fillId="0" borderId="0" xfId="0" applyFont="1" applyAlignment="1">
      <alignment horizontal="left" vertical="center" indent="5"/>
    </xf>
    <xf numFmtId="0" fontId="23" fillId="0" borderId="0" xfId="0" applyFont="1" applyAlignment="1">
      <alignment vertical="center"/>
    </xf>
    <xf numFmtId="0" fontId="47" fillId="0" borderId="0" xfId="0" applyFont="1" applyAlignment="1">
      <alignment horizontal="left" vertical="center" indent="2"/>
    </xf>
  </cellXfs>
  <cellStyles count="4">
    <cellStyle name="Mena 2" xfId="3"/>
    <cellStyle name="Normal" xfId="0" builtinId="0"/>
    <cellStyle name="Normálna 2" xfId="1"/>
    <cellStyle name="Percentá 2" xfId="2"/>
  </cellStyles>
  <dxfs count="0"/>
  <tableStyles count="0" defaultTableStyle="TableStyleMedium9" defaultPivotStyle="PivotStyleLight16"/>
  <colors>
    <mruColors>
      <color rgb="FF66FF33"/>
      <color rgb="FFFF66CC"/>
      <color rgb="FFFFD13F"/>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60000"/>
                  <a:lumOff val="40000"/>
                </a:schemeClr>
              </a:solidFill>
            </c:spPr>
          </c:dPt>
          <c:dPt>
            <c:idx val="1"/>
            <c:bubble3D val="0"/>
            <c:spPr>
              <a:solidFill>
                <a:schemeClr val="accent5">
                  <a:lumMod val="75000"/>
                </a:schemeClr>
              </a:solidFill>
            </c:spPr>
          </c:dPt>
          <c:dPt>
            <c:idx val="2"/>
            <c:bubble3D val="0"/>
            <c:spPr>
              <a:solidFill>
                <a:srgbClr val="FFC000"/>
              </a:solidFill>
            </c:spPr>
          </c:dPt>
          <c:dPt>
            <c:idx val="3"/>
            <c:bubble3D val="0"/>
            <c:spPr>
              <a:solidFill>
                <a:srgbClr val="FFD13F"/>
              </a:solidFill>
            </c:spPr>
          </c:dPt>
          <c:dPt>
            <c:idx val="4"/>
            <c:bubble3D val="0"/>
            <c:spPr>
              <a:solidFill>
                <a:srgbClr val="FFFF00"/>
              </a:solidFill>
            </c:spPr>
          </c:dPt>
          <c:dPt>
            <c:idx val="5"/>
            <c:bubble3D val="0"/>
            <c:spPr>
              <a:solidFill>
                <a:schemeClr val="accent1"/>
              </a:solidFill>
            </c:spPr>
          </c:dPt>
          <c:dPt>
            <c:idx val="6"/>
            <c:bubble3D val="0"/>
            <c:spPr>
              <a:solidFill>
                <a:srgbClr val="FF00FF"/>
              </a:solidFill>
            </c:spPr>
          </c:dPt>
          <c:dLbls>
            <c:showLegendKey val="0"/>
            <c:showVal val="1"/>
            <c:showCatName val="0"/>
            <c:showSerName val="0"/>
            <c:showPercent val="0"/>
            <c:showBubbleSize val="0"/>
            <c:showLeaderLines val="1"/>
          </c:dLbls>
          <c:cat>
            <c:numRef>
              <c:f>Results!$E$23:$E$29</c:f>
              <c:numCache>
                <c:formatCode>#,##0.00\ _€</c:formatCode>
                <c:ptCount val="7"/>
                <c:pt idx="0">
                  <c:v>0.65599250936329589</c:v>
                </c:pt>
                <c:pt idx="1">
                  <c:v>7.2636091760299628</c:v>
                </c:pt>
                <c:pt idx="2">
                  <c:v>5.0761351899462728</c:v>
                </c:pt>
                <c:pt idx="3">
                  <c:v>5.4942640293719176</c:v>
                </c:pt>
                <c:pt idx="4">
                  <c:v>4.1982770257326827</c:v>
                </c:pt>
                <c:pt idx="5">
                  <c:v>5.3443636767449385E-2</c:v>
                </c:pt>
                <c:pt idx="6">
                  <c:v>0.15547945205479455</c:v>
                </c:pt>
              </c:numCache>
            </c:numRef>
          </c:cat>
          <c:val>
            <c:numRef>
              <c:f>Results!$F$23:$F$29</c:f>
              <c:numCache>
                <c:formatCode>0.0</c:formatCode>
                <c:ptCount val="7"/>
                <c:pt idx="0">
                  <c:v>9.0312197898543687</c:v>
                </c:pt>
                <c:pt idx="1">
                  <c:v>100</c:v>
                </c:pt>
                <c:pt idx="2">
                  <c:v>69.884475705240419</c:v>
                </c:pt>
                <c:pt idx="3">
                  <c:v>75.640964377641424</c:v>
                </c:pt>
                <c:pt idx="4">
                  <c:v>57.798773639791499</c:v>
                </c:pt>
                <c:pt idx="5">
                  <c:v>0.73577247167722515</c:v>
                </c:pt>
                <c:pt idx="6">
                  <c:v>2.1405261253300836</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zero"/>
    <c:showDLblsOverMax val="0"/>
  </c:chart>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ideWall>
    <c:backWall>
      <c:thickness val="0"/>
    </c:backWall>
    <c:plotArea>
      <c:layout/>
      <c:bar3DChart>
        <c:barDir val="col"/>
        <c:grouping val="stacked"/>
        <c:varyColors val="0"/>
        <c:ser>
          <c:idx val="0"/>
          <c:order val="0"/>
          <c:tx>
            <c:strRef>
              <c:f>'Compare Option '!$A$5</c:f>
              <c:strCache>
                <c:ptCount val="1"/>
                <c:pt idx="0">
                  <c:v>Land acquisition and preparation</c:v>
                </c:pt>
              </c:strCache>
            </c:strRef>
          </c:tx>
          <c:spPr>
            <a:solidFill>
              <a:schemeClr val="accent5">
                <a:lumMod val="75000"/>
              </a:schemeClr>
            </a:solidFill>
          </c:spPr>
          <c:invertIfNegative val="0"/>
          <c:cat>
            <c:strRef>
              <c:f>'Compare Option '!$B$4:$C$4</c:f>
              <c:strCache>
                <c:ptCount val="2"/>
                <c:pt idx="0">
                  <c:v>Option A</c:v>
                </c:pt>
                <c:pt idx="1">
                  <c:v>Option B</c:v>
                </c:pt>
              </c:strCache>
            </c:strRef>
          </c:cat>
          <c:val>
            <c:numRef>
              <c:f>'Compare Option '!$B$5:$C$5</c:f>
              <c:numCache>
                <c:formatCode>General</c:formatCode>
                <c:ptCount val="2"/>
                <c:pt idx="0" formatCode="0.00">
                  <c:v>5.8383333333333338</c:v>
                </c:pt>
                <c:pt idx="1">
                  <c:v>5.84</c:v>
                </c:pt>
              </c:numCache>
            </c:numRef>
          </c:val>
        </c:ser>
        <c:ser>
          <c:idx val="1"/>
          <c:order val="1"/>
          <c:tx>
            <c:strRef>
              <c:f>'Compare Option '!$A$6</c:f>
              <c:strCache>
                <c:ptCount val="1"/>
                <c:pt idx="0">
                  <c:v>Investment cost</c:v>
                </c:pt>
              </c:strCache>
            </c:strRef>
          </c:tx>
          <c:spPr>
            <a:solidFill>
              <a:schemeClr val="accent5">
                <a:lumMod val="60000"/>
                <a:lumOff val="40000"/>
              </a:schemeClr>
            </a:solidFill>
          </c:spPr>
          <c:invertIfNegative val="0"/>
          <c:cat>
            <c:strRef>
              <c:f>'Compare Option '!$B$4:$C$4</c:f>
              <c:strCache>
                <c:ptCount val="2"/>
                <c:pt idx="0">
                  <c:v>Option A</c:v>
                </c:pt>
                <c:pt idx="1">
                  <c:v>Option B</c:v>
                </c:pt>
              </c:strCache>
            </c:strRef>
          </c:cat>
          <c:val>
            <c:numRef>
              <c:f>'Compare Option '!$B$6:$C$6</c:f>
              <c:numCache>
                <c:formatCode>General</c:formatCode>
                <c:ptCount val="2"/>
                <c:pt idx="0" formatCode="0.00">
                  <c:v>64.646121666666673</c:v>
                </c:pt>
                <c:pt idx="1">
                  <c:v>67</c:v>
                </c:pt>
              </c:numCache>
            </c:numRef>
          </c:val>
        </c:ser>
        <c:ser>
          <c:idx val="2"/>
          <c:order val="2"/>
          <c:tx>
            <c:strRef>
              <c:f>'Compare Option '!$A$7</c:f>
              <c:strCache>
                <c:ptCount val="1"/>
                <c:pt idx="0">
                  <c:v>Maintenance and repair costs</c:v>
                </c:pt>
              </c:strCache>
            </c:strRef>
          </c:tx>
          <c:spPr>
            <a:solidFill>
              <a:srgbClr val="FFC000"/>
            </a:solidFill>
          </c:spPr>
          <c:invertIfNegative val="0"/>
          <c:cat>
            <c:strRef>
              <c:f>'Compare Option '!$B$4:$C$4</c:f>
              <c:strCache>
                <c:ptCount val="2"/>
                <c:pt idx="0">
                  <c:v>Option A</c:v>
                </c:pt>
                <c:pt idx="1">
                  <c:v>Option B</c:v>
                </c:pt>
              </c:strCache>
            </c:strRef>
          </c:cat>
          <c:val>
            <c:numRef>
              <c:f>'Compare Option '!$B$7:$C$7</c:f>
              <c:numCache>
                <c:formatCode>General</c:formatCode>
                <c:ptCount val="2"/>
                <c:pt idx="0" formatCode="0.00">
                  <c:v>45.177603190521829</c:v>
                </c:pt>
                <c:pt idx="1">
                  <c:v>47</c:v>
                </c:pt>
              </c:numCache>
            </c:numRef>
          </c:val>
        </c:ser>
        <c:ser>
          <c:idx val="3"/>
          <c:order val="3"/>
          <c:tx>
            <c:strRef>
              <c:f>'Compare Option '!$A$8</c:f>
              <c:strCache>
                <c:ptCount val="1"/>
                <c:pt idx="0">
                  <c:v>Other operational costs (replacments)</c:v>
                </c:pt>
              </c:strCache>
            </c:strRef>
          </c:tx>
          <c:spPr>
            <a:solidFill>
              <a:srgbClr val="ECB314"/>
            </a:solidFill>
          </c:spPr>
          <c:invertIfNegative val="0"/>
          <c:cat>
            <c:strRef>
              <c:f>'Compare Option '!$B$4:$C$4</c:f>
              <c:strCache>
                <c:ptCount val="2"/>
                <c:pt idx="0">
                  <c:v>Option A</c:v>
                </c:pt>
                <c:pt idx="1">
                  <c:v>Option B</c:v>
                </c:pt>
              </c:strCache>
            </c:strRef>
          </c:cat>
          <c:val>
            <c:numRef>
              <c:f>'Compare Option '!$B$8:$C$8</c:f>
              <c:numCache>
                <c:formatCode>General</c:formatCode>
                <c:ptCount val="2"/>
                <c:pt idx="0" formatCode="0.00">
                  <c:v>48.897531176288958</c:v>
                </c:pt>
                <c:pt idx="1">
                  <c:v>43</c:v>
                </c:pt>
              </c:numCache>
            </c:numRef>
          </c:val>
        </c:ser>
        <c:ser>
          <c:idx val="4"/>
          <c:order val="4"/>
          <c:tx>
            <c:strRef>
              <c:f>'Compare Option '!$A$9</c:f>
              <c:strCache>
                <c:ptCount val="1"/>
                <c:pt idx="0">
                  <c:v>In use energy</c:v>
                </c:pt>
              </c:strCache>
            </c:strRef>
          </c:tx>
          <c:spPr>
            <a:solidFill>
              <a:srgbClr val="FFFF00"/>
            </a:solidFill>
          </c:spPr>
          <c:invertIfNegative val="0"/>
          <c:cat>
            <c:strRef>
              <c:f>'Compare Option '!$B$4:$C$4</c:f>
              <c:strCache>
                <c:ptCount val="2"/>
                <c:pt idx="0">
                  <c:v>Option A</c:v>
                </c:pt>
                <c:pt idx="1">
                  <c:v>Option B</c:v>
                </c:pt>
              </c:strCache>
            </c:strRef>
          </c:cat>
          <c:val>
            <c:numRef>
              <c:f>'Compare Option '!$B$9:$C$9</c:f>
              <c:numCache>
                <c:formatCode>General</c:formatCode>
                <c:ptCount val="2"/>
                <c:pt idx="0" formatCode="0.00">
                  <c:v>6.7044586082284852</c:v>
                </c:pt>
                <c:pt idx="1">
                  <c:v>6.1</c:v>
                </c:pt>
              </c:numCache>
            </c:numRef>
          </c:val>
        </c:ser>
        <c:ser>
          <c:idx val="5"/>
          <c:order val="5"/>
          <c:tx>
            <c:strRef>
              <c:f>'Compare Option '!$A$10</c:f>
              <c:strCache>
                <c:ptCount val="1"/>
                <c:pt idx="0">
                  <c:v>In use water</c:v>
                </c:pt>
              </c:strCache>
            </c:strRef>
          </c:tx>
          <c:spPr>
            <a:solidFill>
              <a:srgbClr val="00B0F0"/>
            </a:solidFill>
          </c:spPr>
          <c:invertIfNegative val="0"/>
          <c:cat>
            <c:strRef>
              <c:f>'Compare Option '!$B$4:$C$4</c:f>
              <c:strCache>
                <c:ptCount val="2"/>
                <c:pt idx="0">
                  <c:v>Option A</c:v>
                </c:pt>
                <c:pt idx="1">
                  <c:v>Option B</c:v>
                </c:pt>
              </c:strCache>
            </c:strRef>
          </c:cat>
          <c:val>
            <c:numRef>
              <c:f>'Compare Option '!$B$10:$C$10</c:f>
              <c:numCache>
                <c:formatCode>General</c:formatCode>
                <c:ptCount val="2"/>
                <c:pt idx="0" formatCode="0.00">
                  <c:v>0.46992586723029955</c:v>
                </c:pt>
                <c:pt idx="1">
                  <c:v>0.47</c:v>
                </c:pt>
              </c:numCache>
            </c:numRef>
          </c:val>
        </c:ser>
        <c:ser>
          <c:idx val="6"/>
          <c:order val="6"/>
          <c:tx>
            <c:strRef>
              <c:f>'Compare Option '!$A$11</c:f>
              <c:strCache>
                <c:ptCount val="1"/>
                <c:pt idx="0">
                  <c:v>Demolition costs</c:v>
                </c:pt>
              </c:strCache>
            </c:strRef>
          </c:tx>
          <c:spPr>
            <a:solidFill>
              <a:srgbClr val="CE08A8"/>
            </a:solidFill>
          </c:spPr>
          <c:invertIfNegative val="0"/>
          <c:cat>
            <c:strRef>
              <c:f>'Compare Option '!$B$4:$C$4</c:f>
              <c:strCache>
                <c:ptCount val="2"/>
                <c:pt idx="0">
                  <c:v>Option A</c:v>
                </c:pt>
                <c:pt idx="1">
                  <c:v>Option B</c:v>
                </c:pt>
              </c:strCache>
            </c:strRef>
          </c:cat>
          <c:val>
            <c:numRef>
              <c:f>'Compare Option '!$B$11:$C$11</c:f>
              <c:numCache>
                <c:formatCode>General</c:formatCode>
                <c:ptCount val="2"/>
                <c:pt idx="0" formatCode="0.00">
                  <c:v>1.3620000000000001</c:v>
                </c:pt>
                <c:pt idx="1">
                  <c:v>1.45</c:v>
                </c:pt>
              </c:numCache>
            </c:numRef>
          </c:val>
        </c:ser>
        <c:dLbls>
          <c:showLegendKey val="0"/>
          <c:showVal val="0"/>
          <c:showCatName val="0"/>
          <c:showSerName val="0"/>
          <c:showPercent val="0"/>
          <c:showBubbleSize val="0"/>
        </c:dLbls>
        <c:gapWidth val="55"/>
        <c:gapDepth val="55"/>
        <c:shape val="box"/>
        <c:axId val="96498816"/>
        <c:axId val="96500352"/>
        <c:axId val="0"/>
      </c:bar3DChart>
      <c:catAx>
        <c:axId val="96498816"/>
        <c:scaling>
          <c:orientation val="minMax"/>
        </c:scaling>
        <c:delete val="0"/>
        <c:axPos val="b"/>
        <c:numFmt formatCode="General" sourceLinked="1"/>
        <c:majorTickMark val="none"/>
        <c:minorTickMark val="none"/>
        <c:tickLblPos val="nextTo"/>
        <c:crossAx val="96500352"/>
        <c:crosses val="autoZero"/>
        <c:auto val="1"/>
        <c:lblAlgn val="ctr"/>
        <c:lblOffset val="100"/>
        <c:noMultiLvlLbl val="0"/>
      </c:catAx>
      <c:valAx>
        <c:axId val="96500352"/>
        <c:scaling>
          <c:orientation val="minMax"/>
        </c:scaling>
        <c:delete val="0"/>
        <c:axPos val="l"/>
        <c:majorGridlines/>
        <c:numFmt formatCode="0.00" sourceLinked="1"/>
        <c:majorTickMark val="none"/>
        <c:minorTickMark val="none"/>
        <c:tickLblPos val="nextTo"/>
        <c:crossAx val="96498816"/>
        <c:crosses val="autoZero"/>
        <c:crossBetween val="between"/>
      </c:valAx>
      <c:spPr>
        <a:noFill/>
        <a:ln w="25400">
          <a:noFill/>
        </a:ln>
      </c:spPr>
    </c:plotArea>
    <c:legend>
      <c:legendPos val="r"/>
      <c:overlay val="0"/>
    </c:legend>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ctrlProps/ctrlProp1.xml><?xml version="1.0" encoding="utf-8"?>
<formControlPr xmlns="http://schemas.microsoft.com/office/spreadsheetml/2009/9/main" objectType="Drop" dropLines="3" dropStyle="combo" dx="15" fmlaLink="$B$4" fmlaRange="$B$5:$B$7" sel="3"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40</xdr:col>
      <xdr:colOff>1485900</xdr:colOff>
      <xdr:row>27</xdr:row>
      <xdr:rowOff>76200</xdr:rowOff>
    </xdr:from>
    <xdr:to>
      <xdr:col>40</xdr:col>
      <xdr:colOff>1485900</xdr:colOff>
      <xdr:row>47</xdr:row>
      <xdr:rowOff>76200</xdr:rowOff>
    </xdr:to>
    <xdr:cxnSp macro="">
      <xdr:nvCxnSpPr>
        <xdr:cNvPr id="1060" name="Straight Connector 1"/>
        <xdr:cNvCxnSpPr>
          <a:cxnSpLocks noChangeShapeType="1"/>
        </xdr:cNvCxnSpPr>
      </xdr:nvCxnSpPr>
      <xdr:spPr bwMode="auto">
        <a:xfrm rot="5400000">
          <a:off x="29927550" y="10963275"/>
          <a:ext cx="9791700" cy="0"/>
        </a:xfrm>
        <a:prstGeom prst="line">
          <a:avLst/>
        </a:prstGeom>
        <a:noFill/>
        <a:ln w="76200" algn="ctr">
          <a:solidFill>
            <a:srgbClr val="000000"/>
          </a:solidFill>
          <a:prstDash val="dash"/>
          <a:round/>
          <a:headEnd/>
          <a:tailEnd/>
        </a:ln>
      </xdr:spPr>
    </xdr:cxnSp>
    <xdr:clientData/>
  </xdr:twoCellAnchor>
  <mc:AlternateContent xmlns:mc="http://schemas.openxmlformats.org/markup-compatibility/2006">
    <mc:Choice xmlns:a14="http://schemas.microsoft.com/office/drawing/2010/main" Requires="a14">
      <xdr:twoCellAnchor editAs="oneCell">
        <xdr:from>
          <xdr:col>1</xdr:col>
          <xdr:colOff>30480</xdr:colOff>
          <xdr:row>3</xdr:row>
          <xdr:rowOff>129540</xdr:rowOff>
        </xdr:from>
        <xdr:to>
          <xdr:col>1</xdr:col>
          <xdr:colOff>2819400</xdr:colOff>
          <xdr:row>6</xdr:row>
          <xdr:rowOff>137160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238125</xdr:colOff>
      <xdr:row>11</xdr:row>
      <xdr:rowOff>152400</xdr:rowOff>
    </xdr:from>
    <xdr:to>
      <xdr:col>12</xdr:col>
      <xdr:colOff>257175</xdr:colOff>
      <xdr:row>28</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561975</xdr:colOff>
      <xdr:row>0</xdr:row>
      <xdr:rowOff>142875</xdr:rowOff>
    </xdr:from>
    <xdr:to>
      <xdr:col>9</xdr:col>
      <xdr:colOff>561975</xdr:colOff>
      <xdr:row>25</xdr:row>
      <xdr:rowOff>133350</xdr:rowOff>
    </xdr:to>
    <xdr:graphicFrame macro="">
      <xdr:nvGraphicFramePr>
        <xdr:cNvPr id="2253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revisions/_rels/revisionHeaders.xml.rels><?xml version="1.0" encoding="UTF-8" standalone="yes"?>
<Relationships xmlns="http://schemas.openxmlformats.org/package/2006/relationships"><Relationship Id="rId23"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3F617F4-9EED-4FAE-B53D-1FCC32384D7B}" diskRevisions="1" revisionId="1714" version="3">
  <header guid="{F3F617F4-9EED-4FAE-B53D-1FCC32384D7B}" dateTime="2015-03-17T13:27:49" maxSheetId="12" userName="ZIRNGIBL" r:id="rId23" minRId="1699" maxRId="1713">
    <sheetIdMap count="11">
      <sheetId val="11"/>
      <sheetId val="1"/>
      <sheetId val="2"/>
      <sheetId val="3"/>
      <sheetId val="4"/>
      <sheetId val="5"/>
      <sheetId val="10"/>
      <sheetId val="6"/>
      <sheetId val="7"/>
      <sheetId val="8"/>
      <sheetId val="9"/>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1699" sheetId="11" name="[TC228 prEN 15459 SPS 2014-01-10 economic data_dis.xlsx]Info" sheetPosition="0"/>
  <rfmt sheetId="11" sqref="A3" start="0" length="0">
    <dxf>
      <font>
        <sz val="10"/>
        <color theme="1"/>
        <name val="Symbol"/>
        <scheme val="none"/>
      </font>
    </dxf>
  </rfmt>
  <rfmt sheetId="11" sqref="A4" start="0" length="0">
    <dxf>
      <font>
        <sz val="10"/>
        <color theme="1"/>
        <name val="Symbol"/>
        <scheme val="none"/>
      </font>
    </dxf>
  </rfmt>
  <rfmt sheetId="11" sqref="A5" start="0" length="0">
    <dxf>
      <font>
        <sz val="10"/>
        <color theme="1"/>
        <name val="Symbol"/>
        <scheme val="none"/>
      </font>
    </dxf>
  </rfmt>
  <rfmt sheetId="11" sqref="A6" start="0" length="0">
    <dxf>
      <font>
        <sz val="10"/>
        <color theme="1"/>
        <name val="Symbol"/>
        <scheme val="none"/>
      </font>
    </dxf>
  </rfmt>
  <rfmt sheetId="11" sqref="A9" start="0" length="0">
    <dxf>
      <font>
        <sz val="10"/>
        <color theme="1"/>
        <name val="Symbol"/>
        <scheme val="none"/>
      </font>
    </dxf>
  </rfmt>
  <rfmt sheetId="11" sqref="A12" start="0" length="0">
    <dxf>
      <font>
        <sz val="10"/>
        <color theme="1"/>
        <name val="Symbol"/>
        <scheme val="none"/>
      </font>
    </dxf>
  </rfmt>
  <rfmt sheetId="11" sqref="A13" start="0" length="0">
    <dxf>
      <font>
        <sz val="10"/>
        <color theme="1"/>
        <name val="Symbol"/>
        <scheme val="none"/>
      </font>
    </dxf>
  </rfmt>
  <rfmt sheetId="11" sqref="A14" start="0" length="0">
    <dxf>
      <font>
        <sz val="10"/>
        <color theme="1"/>
        <name val="Symbol"/>
        <scheme val="none"/>
      </font>
    </dxf>
  </rfmt>
  <rfmt sheetId="11" sqref="A17" start="0" length="0">
    <dxf>
      <font>
        <sz val="10"/>
        <color theme="1"/>
        <name val="Symbol"/>
        <scheme val="none"/>
      </font>
    </dxf>
  </rfmt>
  <rfmt sheetId="11" sqref="A18" start="0" length="0">
    <dxf>
      <font>
        <sz val="10"/>
        <color theme="1"/>
        <name val="Symbol"/>
        <scheme val="none"/>
      </font>
    </dxf>
  </rfmt>
  <rcc rId="1700" sId="11" xfDxf="1" dxf="1">
    <nc r="A2" t="inlineStr">
      <is>
        <t>DISCLAIMER:</t>
      </is>
    </nc>
    <ndxf>
      <font>
        <b/>
        <sz val="10"/>
        <name val="Arial"/>
        <scheme val="none"/>
      </font>
      <alignment vertical="center" readingOrder="0"/>
    </ndxf>
  </rcc>
  <rcc rId="1701" sId="11" xfDxf="1" dxf="1">
    <nc r="A3" t="inlineStr">
      <is>
        <r>
          <t>·</t>
        </r>
        <r>
          <rPr>
            <sz val="7"/>
            <color theme="1"/>
            <rFont val="Times New Roman"/>
            <family val="1"/>
          </rPr>
          <t xml:space="preserve">        </t>
        </r>
        <r>
          <rPr>
            <sz val="10"/>
            <color theme="1"/>
            <rFont val="Arial"/>
            <family val="2"/>
          </rPr>
          <t xml:space="preserve">This spreadsheet has been developed in the framework of the preparation and revision of the set of EN or ISO standards on the energy performance of buildings, to support the European "Energy Performance of Buildings Directive" recast (EPBD-recast, directive 2010/31/EU). </t>
        </r>
      </is>
    </nc>
    <ndxf>
      <font>
        <sz val="10"/>
        <name val="Symbol"/>
        <scheme val="none"/>
      </font>
      <alignment horizontal="left" vertical="center" indent="5" readingOrder="0"/>
    </ndxf>
  </rcc>
  <rcc rId="1702" sId="11" xfDxf="1" dxf="1">
    <nc r="A4" t="inlineStr">
      <is>
        <r>
          <t>·</t>
        </r>
        <r>
          <rPr>
            <sz val="7"/>
            <color theme="1"/>
            <rFont val="Times New Roman"/>
            <family val="1"/>
          </rPr>
          <t xml:space="preserve">        </t>
        </r>
        <r>
          <rPr>
            <sz val="10"/>
            <color theme="1"/>
            <rFont val="Arial"/>
            <family val="2"/>
          </rPr>
          <t>It is meant for use by  CEN and ISO technical committee(s) and the working group(s) working on the preparation or revision of the EPB-standard to which this spreadsheet applies. The spreadsheet supports checking  that all equations in the developed standard are consistent and can be linked with other relevant standards. It is not meant to perform a full or partial energy performance calculation.</t>
        </r>
      </is>
    </nc>
    <ndxf>
      <font>
        <sz val="10"/>
        <name val="Symbol"/>
        <scheme val="none"/>
      </font>
      <alignment horizontal="left" vertical="center" indent="5" readingOrder="0"/>
    </ndxf>
  </rcc>
  <rcc rId="1703" sId="11" xfDxf="1" dxf="1">
    <nc r="A5" t="inlineStr">
      <is>
        <r>
          <t>·</t>
        </r>
        <r>
          <rPr>
            <sz val="7"/>
            <color theme="1"/>
            <rFont val="Times New Roman"/>
            <family val="1"/>
          </rPr>
          <t xml:space="preserve">        </t>
        </r>
        <r>
          <rPr>
            <sz val="10"/>
            <color theme="1"/>
            <rFont val="Arial"/>
            <family val="2"/>
          </rPr>
          <t>The spreadsheet supports the expert user of the standards, in particular those who want to review the content of the standard and those who want to translate the standard to a software, to understand the correct interpretation of the equations and calculation steps in the standard.</t>
        </r>
      </is>
    </nc>
    <ndxf>
      <font>
        <sz val="10"/>
        <name val="Symbol"/>
        <scheme val="none"/>
      </font>
      <alignment horizontal="left" vertical="center" indent="5" readingOrder="0"/>
    </ndxf>
  </rcc>
  <rcc rId="1704" sId="11" xfDxf="1" dxf="1">
    <nc r="A6" t="inlineStr">
      <is>
        <r>
          <t>·</t>
        </r>
        <r>
          <rPr>
            <sz val="7"/>
            <color theme="1"/>
            <rFont val="Times New Roman"/>
            <family val="1"/>
          </rPr>
          <t xml:space="preserve">        </t>
        </r>
        <r>
          <rPr>
            <sz val="10"/>
            <color theme="1"/>
            <rFont val="Arial"/>
            <family val="2"/>
          </rPr>
          <t>Although it has been developed with care, neither the technical committee(s), nor the working group(s) and experts related to the EPB- standard to which this spreadsheet applies warrant that the calculations and procedures in this spreadsheet are free of errors. The technical committees as well as the working groups and their respective members expressly disclaim any liability or responsibility arising from use of this spreadsheet, or any consequences thereof. Any responsibility arising from the use of this spreadsheet lies with the user.</t>
        </r>
      </is>
    </nc>
    <ndxf>
      <font>
        <sz val="10"/>
        <name val="Symbol"/>
        <scheme val="none"/>
      </font>
      <alignment horizontal="left" vertical="center" indent="5" readingOrder="0"/>
    </ndxf>
  </rcc>
  <rfmt sheetId="11" xfDxf="1" sqref="A7" start="0" length="0">
    <dxf>
      <font>
        <sz val="10"/>
        <name val="Arial"/>
        <scheme val="none"/>
      </font>
      <alignment vertical="center" readingOrder="0"/>
    </dxf>
  </rfmt>
  <rcc rId="1705" sId="11" xfDxf="1" dxf="1">
    <nc r="A8" t="inlineStr">
      <is>
        <t>DRAFT VERSION:</t>
      </is>
    </nc>
    <ndxf>
      <font>
        <sz val="10"/>
        <name val="Arial"/>
        <scheme val="none"/>
      </font>
      <alignment vertical="center" readingOrder="0"/>
    </ndxf>
  </rcc>
  <rcc rId="1706" sId="11" xfDxf="1" dxf="1">
    <nc r="A9" t="inlineStr">
      <is>
        <r>
          <t>·</t>
        </r>
        <r>
          <rPr>
            <sz val="7"/>
            <color theme="1"/>
            <rFont val="Times New Roman"/>
            <family val="1"/>
          </rPr>
          <t xml:space="preserve">        </t>
        </r>
        <r>
          <rPr>
            <sz val="10"/>
            <color theme="1"/>
            <rFont val="Arial"/>
            <family val="2"/>
          </rPr>
          <t>As long as the associated EPB standard or any of the other EPB standards to which it is directly linked are in a draft stage, this spreadsheet is also a draft version only.</t>
        </r>
      </is>
    </nc>
    <ndxf>
      <font>
        <sz val="10"/>
        <name val="Symbol"/>
        <scheme val="none"/>
      </font>
      <alignment horizontal="left" vertical="center" indent="5" readingOrder="0"/>
    </ndxf>
  </rcc>
  <rfmt sheetId="11" xfDxf="1" sqref="A10" start="0" length="0">
    <dxf>
      <font>
        <sz val="10"/>
        <name val="Arial"/>
        <scheme val="none"/>
      </font>
      <alignment vertical="center" readingOrder="0"/>
    </dxf>
  </rfmt>
  <rcc rId="1707" sId="11" xfDxf="1" dxf="1">
    <nc r="A11" t="inlineStr">
      <is>
        <t xml:space="preserve">WARNINGS: </t>
      </is>
    </nc>
    <ndxf>
      <font>
        <sz val="10"/>
        <name val="Arial"/>
        <scheme val="none"/>
      </font>
      <alignment vertical="center" readingOrder="0"/>
    </ndxf>
  </rcc>
  <rcc rId="1708" sId="11" xfDxf="1" dxf="1">
    <nc r="A12" t="inlineStr">
      <is>
        <r>
          <t>·</t>
        </r>
        <r>
          <rPr>
            <sz val="7"/>
            <color theme="1"/>
            <rFont val="Times New Roman"/>
            <family val="1"/>
          </rPr>
          <t xml:space="preserve">        </t>
        </r>
        <r>
          <rPr>
            <sz val="10"/>
            <color theme="1"/>
            <rFont val="Arial"/>
            <family val="2"/>
          </rPr>
          <t xml:space="preserve">Note that the spreadsheet may not allow testing all calculation options that are possible according to the standard to which it applies. This remark applies in particular but not only to limitations on the number instances of a variable that can be considered. </t>
        </r>
      </is>
    </nc>
    <ndxf>
      <font>
        <sz val="10"/>
        <name val="Symbol"/>
        <scheme val="none"/>
      </font>
      <alignment horizontal="left" vertical="center" indent="5" readingOrder="0"/>
    </ndxf>
  </rcc>
  <rcc rId="1709" sId="11" xfDxf="1" dxf="1">
    <nc r="A13" t="inlineStr">
      <is>
        <r>
          <t>·</t>
        </r>
        <r>
          <rPr>
            <sz val="7"/>
            <color theme="1"/>
            <rFont val="Times New Roman"/>
            <family val="1"/>
          </rPr>
          <t xml:space="preserve">        </t>
        </r>
        <r>
          <rPr>
            <sz val="10"/>
            <color theme="1"/>
            <rFont val="Arial"/>
            <family val="2"/>
          </rPr>
          <t>In case of differences, the standard should be regarded as the reference, not the spreadsheet. However, during the standard's drafting phase, shortcomings in the draft standard may have been detected and dealt with in the spreadsheets (ideally, such differences are marked).</t>
        </r>
      </is>
    </nc>
    <ndxf>
      <font>
        <sz val="10"/>
        <name val="Symbol"/>
        <scheme val="none"/>
      </font>
      <alignment horizontal="left" vertical="center" indent="5" readingOrder="0"/>
    </ndxf>
  </rcc>
  <rcc rId="1710" sId="11" xfDxf="1" dxf="1">
    <nc r="A14" t="inlineStr">
      <is>
        <r>
          <t>·</t>
        </r>
        <r>
          <rPr>
            <sz val="7"/>
            <color theme="1"/>
            <rFont val="Times New Roman"/>
            <family val="1"/>
          </rPr>
          <t xml:space="preserve">        </t>
        </r>
        <r>
          <rPr>
            <sz val="10"/>
            <color theme="1"/>
            <rFont val="Arial"/>
            <family val="2"/>
          </rPr>
          <t xml:space="preserve">Note also that these spreadsheets are purely intended for testing and demonstration and therefore not aiming to be user friendly or to be protected against wrong or improper use. </t>
        </r>
      </is>
    </nc>
    <ndxf>
      <font>
        <sz val="10"/>
        <name val="Symbol"/>
        <scheme val="none"/>
      </font>
      <alignment horizontal="left" vertical="center" indent="5" readingOrder="0"/>
    </ndxf>
  </rcc>
  <rfmt sheetId="11" xfDxf="1" sqref="A15" start="0" length="0">
    <dxf>
      <font>
        <sz val="10"/>
        <name val="Arial"/>
        <scheme val="none"/>
      </font>
      <alignment vertical="center" readingOrder="0"/>
    </dxf>
  </rfmt>
  <rcc rId="1711" sId="11" xfDxf="1" dxf="1">
    <nc r="A16" t="inlineStr">
      <is>
        <t>TERMS OF USE:</t>
      </is>
    </nc>
    <ndxf>
      <font>
        <sz val="10"/>
        <name val="Arial"/>
        <scheme val="none"/>
      </font>
      <alignment vertical="center" readingOrder="0"/>
    </ndxf>
  </rcc>
  <rcc rId="1712" sId="11" xfDxf="1" dxf="1">
    <nc r="A17" t="inlineStr">
      <is>
        <r>
          <t>·</t>
        </r>
        <r>
          <rPr>
            <sz val="7"/>
            <color theme="1"/>
            <rFont val="Times New Roman"/>
            <family val="1"/>
          </rPr>
          <t xml:space="preserve">        </t>
        </r>
        <r>
          <rPr>
            <sz val="10"/>
            <color theme="1"/>
            <rFont val="Arial"/>
            <family val="2"/>
          </rPr>
          <t>The user is not allowed to redistribute a modified version of this spreadsheet.</t>
        </r>
      </is>
    </nc>
    <ndxf>
      <font>
        <sz val="10"/>
        <name val="Symbol"/>
        <scheme val="none"/>
      </font>
      <alignment horizontal="left" vertical="center" indent="5" readingOrder="0"/>
    </ndxf>
  </rcc>
  <rcc rId="1713" sId="11" xfDxf="1" dxf="1">
    <nc r="A18" t="inlineStr">
      <is>
        <r>
          <t>·</t>
        </r>
        <r>
          <rPr>
            <sz val="7"/>
            <color theme="1"/>
            <rFont val="Times New Roman"/>
            <family val="1"/>
          </rPr>
          <t xml:space="preserve">        </t>
        </r>
        <r>
          <rPr>
            <sz val="10"/>
            <color theme="1"/>
            <rFont val="Arial"/>
            <family val="2"/>
          </rPr>
          <t>The author(s) would appreciate your feed back on the spreadsheet via the comment sheets for the associated draft standard to be prepared by the national standards bodies during enquiry of the draft standard(s),</t>
        </r>
      </is>
    </nc>
    <ndxf>
      <font>
        <sz val="10"/>
        <name val="Symbol"/>
        <scheme val="none"/>
      </font>
      <alignment horizontal="left" vertical="center" indent="2" readingOrder="0"/>
    </ndxf>
  </rcc>
  <rcv guid="{A466747D-BC11-4359-8DB2-79FDF5927363}" action="delete"/>
  <rdn rId="0" localSheetId="2" customView="1" name="Z_A466747D_BC11_4359_8DB2_79FDF5927363_.wvu.Rows" hidden="1" oldHidden="1">
    <formula>'Energy costs'!$8:$8</formula>
    <oldFormula>'Energy costs'!$8:$8</oldFormula>
  </rdn>
  <rcv guid="{A466747D-BC11-4359-8DB2-79FDF592736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Débit">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5.bin"/><Relationship Id="rId7"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drawing" Target="../drawings/drawing1.x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comments" Target="../comments2.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vmlDrawing" Target="../drawings/vmlDrawing2.vml"/><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drawing" Target="../drawings/drawing2.xml"/><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drawing" Target="../drawings/drawing3.xml"/><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8"/>
  <sheetViews>
    <sheetView tabSelected="1" workbookViewId="0">
      <selection activeCell="C9" sqref="C9"/>
    </sheetView>
  </sheetViews>
  <sheetFormatPr baseColWidth="10" defaultRowHeight="14.4" x14ac:dyDescent="0.3"/>
  <sheetData>
    <row r="2" spans="1:1" x14ac:dyDescent="0.3">
      <c r="A2" s="342" t="s">
        <v>522</v>
      </c>
    </row>
    <row r="3" spans="1:1" x14ac:dyDescent="0.3">
      <c r="A3" s="343" t="s">
        <v>523</v>
      </c>
    </row>
    <row r="4" spans="1:1" x14ac:dyDescent="0.3">
      <c r="A4" s="343" t="s">
        <v>524</v>
      </c>
    </row>
    <row r="5" spans="1:1" x14ac:dyDescent="0.3">
      <c r="A5" s="343" t="s">
        <v>525</v>
      </c>
    </row>
    <row r="6" spans="1:1" x14ac:dyDescent="0.3">
      <c r="A6" s="343" t="s">
        <v>526</v>
      </c>
    </row>
    <row r="7" spans="1:1" x14ac:dyDescent="0.3">
      <c r="A7" s="344"/>
    </row>
    <row r="8" spans="1:1" x14ac:dyDescent="0.3">
      <c r="A8" s="344" t="s">
        <v>527</v>
      </c>
    </row>
    <row r="9" spans="1:1" x14ac:dyDescent="0.3">
      <c r="A9" s="343" t="s">
        <v>528</v>
      </c>
    </row>
    <row r="10" spans="1:1" x14ac:dyDescent="0.3">
      <c r="A10" s="344"/>
    </row>
    <row r="11" spans="1:1" x14ac:dyDescent="0.3">
      <c r="A11" s="344" t="s">
        <v>529</v>
      </c>
    </row>
    <row r="12" spans="1:1" x14ac:dyDescent="0.3">
      <c r="A12" s="343" t="s">
        <v>530</v>
      </c>
    </row>
    <row r="13" spans="1:1" x14ac:dyDescent="0.3">
      <c r="A13" s="343" t="s">
        <v>531</v>
      </c>
    </row>
    <row r="14" spans="1:1" x14ac:dyDescent="0.3">
      <c r="A14" s="343" t="s">
        <v>532</v>
      </c>
    </row>
    <row r="15" spans="1:1" x14ac:dyDescent="0.3">
      <c r="A15" s="344"/>
    </row>
    <row r="16" spans="1:1" x14ac:dyDescent="0.3">
      <c r="A16" s="344" t="s">
        <v>533</v>
      </c>
    </row>
    <row r="17" spans="1:1" x14ac:dyDescent="0.3">
      <c r="A17" s="343" t="s">
        <v>534</v>
      </c>
    </row>
    <row r="18" spans="1:1" x14ac:dyDescent="0.3">
      <c r="A18" s="345" t="s">
        <v>535</v>
      </c>
    </row>
  </sheetData>
  <customSheetViews>
    <customSheetView guid="{A466747D-BC11-4359-8DB2-79FDF5927363}">
      <selection activeCell="C9" sqref="C9"/>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97"/>
  <sheetViews>
    <sheetView workbookViewId="0">
      <selection activeCell="A3" sqref="A3"/>
    </sheetView>
  </sheetViews>
  <sheetFormatPr baseColWidth="10" defaultColWidth="11.44140625" defaultRowHeight="14.4" x14ac:dyDescent="0.3"/>
  <sheetData>
    <row r="2" spans="1:7" x14ac:dyDescent="0.3">
      <c r="A2" t="s">
        <v>363</v>
      </c>
    </row>
    <row r="3" spans="1:7" x14ac:dyDescent="0.3">
      <c r="A3" t="s">
        <v>520</v>
      </c>
      <c r="D3" t="s">
        <v>90</v>
      </c>
      <c r="E3" t="s">
        <v>91</v>
      </c>
      <c r="F3" t="s">
        <v>92</v>
      </c>
      <c r="G3" t="s">
        <v>93</v>
      </c>
    </row>
    <row r="4" spans="1:7" ht="43.2" x14ac:dyDescent="0.3">
      <c r="B4" s="1" t="s">
        <v>94</v>
      </c>
      <c r="D4">
        <v>40</v>
      </c>
      <c r="E4">
        <v>1</v>
      </c>
      <c r="F4">
        <v>0</v>
      </c>
      <c r="G4">
        <v>0</v>
      </c>
    </row>
    <row r="5" spans="1:7" x14ac:dyDescent="0.3">
      <c r="B5" t="s">
        <v>95</v>
      </c>
      <c r="D5">
        <v>35</v>
      </c>
      <c r="E5">
        <v>1</v>
      </c>
      <c r="F5">
        <v>0</v>
      </c>
      <c r="G5">
        <v>0</v>
      </c>
    </row>
    <row r="6" spans="1:7" x14ac:dyDescent="0.3">
      <c r="B6" t="s">
        <v>96</v>
      </c>
      <c r="D6">
        <v>30</v>
      </c>
      <c r="E6">
        <v>0</v>
      </c>
      <c r="F6">
        <v>0</v>
      </c>
      <c r="G6">
        <v>0</v>
      </c>
    </row>
    <row r="7" spans="1:7" x14ac:dyDescent="0.3">
      <c r="B7" t="s">
        <v>97</v>
      </c>
      <c r="D7">
        <v>30</v>
      </c>
      <c r="E7">
        <v>2</v>
      </c>
      <c r="F7">
        <v>0</v>
      </c>
      <c r="G7">
        <v>0</v>
      </c>
    </row>
    <row r="8" spans="1:7" x14ac:dyDescent="0.3">
      <c r="B8" t="s">
        <v>98</v>
      </c>
      <c r="D8">
        <v>10</v>
      </c>
      <c r="E8">
        <v>0</v>
      </c>
      <c r="F8">
        <v>0</v>
      </c>
      <c r="G8">
        <v>0</v>
      </c>
    </row>
    <row r="9" spans="1:7" x14ac:dyDescent="0.3">
      <c r="B9" t="s">
        <v>99</v>
      </c>
      <c r="D9">
        <v>20</v>
      </c>
      <c r="E9">
        <v>1.5</v>
      </c>
      <c r="F9">
        <v>0.5</v>
      </c>
      <c r="G9">
        <v>0</v>
      </c>
    </row>
    <row r="10" spans="1:7" x14ac:dyDescent="0.3">
      <c r="B10" t="s">
        <v>100</v>
      </c>
      <c r="D10">
        <v>30</v>
      </c>
      <c r="E10">
        <v>1</v>
      </c>
      <c r="F10">
        <v>0</v>
      </c>
      <c r="G10">
        <v>0</v>
      </c>
    </row>
    <row r="11" spans="1:7" x14ac:dyDescent="0.3">
      <c r="A11" t="s">
        <v>101</v>
      </c>
    </row>
    <row r="12" spans="1:7" x14ac:dyDescent="0.3">
      <c r="B12" t="s">
        <v>102</v>
      </c>
      <c r="D12">
        <v>10</v>
      </c>
      <c r="E12">
        <v>1</v>
      </c>
      <c r="F12">
        <v>0</v>
      </c>
      <c r="G12">
        <v>0</v>
      </c>
    </row>
    <row r="13" spans="1:7" x14ac:dyDescent="0.3">
      <c r="B13" t="s">
        <v>103</v>
      </c>
      <c r="D13">
        <v>10</v>
      </c>
      <c r="E13">
        <v>1.5</v>
      </c>
      <c r="F13">
        <v>0.5</v>
      </c>
      <c r="G13">
        <v>0</v>
      </c>
    </row>
    <row r="14" spans="1:7" x14ac:dyDescent="0.3">
      <c r="B14" t="s">
        <v>104</v>
      </c>
    </row>
    <row r="15" spans="1:7" x14ac:dyDescent="0.3">
      <c r="B15" t="s">
        <v>105</v>
      </c>
      <c r="D15">
        <v>15</v>
      </c>
      <c r="E15">
        <v>1.5</v>
      </c>
      <c r="F15">
        <v>0.5</v>
      </c>
      <c r="G15">
        <v>0</v>
      </c>
    </row>
    <row r="16" spans="1:7" x14ac:dyDescent="0.3">
      <c r="B16" t="s">
        <v>106</v>
      </c>
      <c r="D16">
        <v>15</v>
      </c>
      <c r="E16">
        <v>4</v>
      </c>
      <c r="F16">
        <v>1</v>
      </c>
      <c r="G16">
        <v>1</v>
      </c>
    </row>
    <row r="17" spans="1:7" x14ac:dyDescent="0.3">
      <c r="B17" t="s">
        <v>107</v>
      </c>
    </row>
    <row r="18" spans="1:7" x14ac:dyDescent="0.3">
      <c r="B18" t="s">
        <v>108</v>
      </c>
      <c r="D18">
        <v>25</v>
      </c>
      <c r="E18">
        <v>1</v>
      </c>
      <c r="F18">
        <v>0.5</v>
      </c>
      <c r="G18">
        <v>0</v>
      </c>
    </row>
    <row r="19" spans="1:7" x14ac:dyDescent="0.3">
      <c r="B19" t="s">
        <v>109</v>
      </c>
    </row>
    <row r="20" spans="1:7" x14ac:dyDescent="0.3">
      <c r="B20" t="s">
        <v>110</v>
      </c>
      <c r="D20">
        <v>50</v>
      </c>
      <c r="E20">
        <v>2</v>
      </c>
      <c r="F20">
        <v>0</v>
      </c>
      <c r="G20">
        <v>0</v>
      </c>
    </row>
    <row r="21" spans="1:7" x14ac:dyDescent="0.3">
      <c r="B21" t="s">
        <v>111</v>
      </c>
      <c r="D21">
        <v>25</v>
      </c>
      <c r="E21">
        <v>1</v>
      </c>
      <c r="F21">
        <v>0</v>
      </c>
      <c r="G21">
        <v>0</v>
      </c>
    </row>
    <row r="22" spans="1:7" x14ac:dyDescent="0.3">
      <c r="A22" t="s">
        <v>112</v>
      </c>
    </row>
    <row r="23" spans="1:7" x14ac:dyDescent="0.3">
      <c r="B23" t="s">
        <v>113</v>
      </c>
    </row>
    <row r="24" spans="1:7" x14ac:dyDescent="0.3">
      <c r="B24" t="s">
        <v>114</v>
      </c>
      <c r="D24">
        <v>18</v>
      </c>
      <c r="E24">
        <v>2</v>
      </c>
      <c r="F24">
        <v>1</v>
      </c>
      <c r="G24">
        <v>0</v>
      </c>
    </row>
    <row r="25" spans="1:7" x14ac:dyDescent="0.3">
      <c r="B25" t="s">
        <v>115</v>
      </c>
      <c r="D25">
        <v>10</v>
      </c>
      <c r="E25">
        <v>2</v>
      </c>
      <c r="F25">
        <v>0</v>
      </c>
      <c r="G25">
        <v>0</v>
      </c>
    </row>
    <row r="26" spans="1:7" x14ac:dyDescent="0.3">
      <c r="B26" t="s">
        <v>116</v>
      </c>
      <c r="D26">
        <v>10</v>
      </c>
      <c r="E26">
        <v>2</v>
      </c>
      <c r="F26">
        <v>0</v>
      </c>
      <c r="G26">
        <v>0</v>
      </c>
    </row>
    <row r="27" spans="1:7" x14ac:dyDescent="0.3">
      <c r="B27" t="s">
        <v>117</v>
      </c>
      <c r="D27">
        <v>20</v>
      </c>
      <c r="E27">
        <v>1.5</v>
      </c>
      <c r="F27">
        <v>0</v>
      </c>
      <c r="G27">
        <v>0</v>
      </c>
    </row>
    <row r="28" spans="1:7" x14ac:dyDescent="0.3">
      <c r="B28" t="s">
        <v>118</v>
      </c>
      <c r="D28">
        <v>20</v>
      </c>
      <c r="E28">
        <v>1.5</v>
      </c>
      <c r="F28">
        <v>0</v>
      </c>
      <c r="G28">
        <v>0</v>
      </c>
    </row>
    <row r="29" spans="1:7" x14ac:dyDescent="0.3">
      <c r="B29" t="s">
        <v>119</v>
      </c>
    </row>
    <row r="30" spans="1:7" x14ac:dyDescent="0.3">
      <c r="B30" t="s">
        <v>120</v>
      </c>
      <c r="D30">
        <v>15</v>
      </c>
      <c r="E30">
        <v>0</v>
      </c>
      <c r="F30">
        <v>0.5</v>
      </c>
      <c r="G30">
        <v>0</v>
      </c>
    </row>
    <row r="31" spans="1:7" x14ac:dyDescent="0.3">
      <c r="B31" t="s">
        <v>121</v>
      </c>
      <c r="D31">
        <v>25</v>
      </c>
      <c r="E31">
        <v>2</v>
      </c>
      <c r="F31">
        <v>0.5</v>
      </c>
      <c r="G31">
        <v>0</v>
      </c>
    </row>
    <row r="32" spans="1:7" x14ac:dyDescent="0.3">
      <c r="B32" t="s">
        <v>122</v>
      </c>
      <c r="D32">
        <v>20</v>
      </c>
      <c r="E32">
        <v>1.5</v>
      </c>
      <c r="F32">
        <v>1</v>
      </c>
      <c r="G32">
        <v>0</v>
      </c>
    </row>
    <row r="33" spans="1:7" x14ac:dyDescent="0.3">
      <c r="B33" t="s">
        <v>123</v>
      </c>
      <c r="D33">
        <v>20</v>
      </c>
      <c r="E33">
        <v>1</v>
      </c>
      <c r="F33">
        <v>0</v>
      </c>
      <c r="G33">
        <v>0</v>
      </c>
    </row>
    <row r="34" spans="1:7" x14ac:dyDescent="0.3">
      <c r="B34" t="s">
        <v>124</v>
      </c>
    </row>
    <row r="35" spans="1:7" x14ac:dyDescent="0.3">
      <c r="B35" t="s">
        <v>125</v>
      </c>
      <c r="D35">
        <v>40</v>
      </c>
      <c r="E35">
        <v>1</v>
      </c>
      <c r="F35">
        <v>0</v>
      </c>
      <c r="G35">
        <v>0</v>
      </c>
    </row>
    <row r="36" spans="1:7" x14ac:dyDescent="0.3">
      <c r="B36" t="s">
        <v>126</v>
      </c>
      <c r="D36">
        <v>40</v>
      </c>
      <c r="E36">
        <v>1</v>
      </c>
      <c r="F36">
        <v>0</v>
      </c>
      <c r="G36">
        <v>0</v>
      </c>
    </row>
    <row r="37" spans="1:7" x14ac:dyDescent="0.3">
      <c r="B37" t="s">
        <v>127</v>
      </c>
      <c r="D37">
        <v>8</v>
      </c>
      <c r="E37">
        <v>5</v>
      </c>
      <c r="F37">
        <v>0</v>
      </c>
      <c r="G37">
        <v>0</v>
      </c>
    </row>
    <row r="38" spans="1:7" x14ac:dyDescent="0.3">
      <c r="B38" t="s">
        <v>128</v>
      </c>
      <c r="D38">
        <v>40</v>
      </c>
      <c r="E38">
        <v>0.5</v>
      </c>
      <c r="F38">
        <v>0</v>
      </c>
      <c r="G38">
        <v>0</v>
      </c>
    </row>
    <row r="39" spans="1:7" x14ac:dyDescent="0.3">
      <c r="B39" t="s">
        <v>129</v>
      </c>
      <c r="D39">
        <v>30</v>
      </c>
      <c r="E39">
        <v>0.5</v>
      </c>
      <c r="F39">
        <v>0</v>
      </c>
      <c r="G39">
        <v>0</v>
      </c>
    </row>
    <row r="40" spans="1:7" x14ac:dyDescent="0.3">
      <c r="B40" t="s">
        <v>130</v>
      </c>
      <c r="D40">
        <v>30</v>
      </c>
      <c r="E40">
        <v>0.5</v>
      </c>
      <c r="F40">
        <v>0</v>
      </c>
      <c r="G40">
        <v>0</v>
      </c>
    </row>
    <row r="41" spans="1:7" x14ac:dyDescent="0.3">
      <c r="B41" t="s">
        <v>131</v>
      </c>
    </row>
    <row r="42" spans="1:7" x14ac:dyDescent="0.3">
      <c r="B42" t="s">
        <v>132</v>
      </c>
    </row>
    <row r="43" spans="1:7" x14ac:dyDescent="0.3">
      <c r="A43" t="s">
        <v>133</v>
      </c>
    </row>
    <row r="44" spans="1:7" x14ac:dyDescent="0.3">
      <c r="A44" t="s">
        <v>134</v>
      </c>
    </row>
    <row r="45" spans="1:7" x14ac:dyDescent="0.3">
      <c r="B45" t="s">
        <v>135</v>
      </c>
      <c r="D45">
        <v>18</v>
      </c>
      <c r="E45">
        <v>2</v>
      </c>
      <c r="F45">
        <v>1</v>
      </c>
      <c r="G45">
        <v>0</v>
      </c>
    </row>
    <row r="46" spans="1:7" x14ac:dyDescent="0.3">
      <c r="B46" t="s">
        <v>136</v>
      </c>
      <c r="D46">
        <v>18</v>
      </c>
      <c r="E46">
        <v>2</v>
      </c>
      <c r="F46">
        <v>1</v>
      </c>
      <c r="G46">
        <v>0</v>
      </c>
    </row>
    <row r="47" spans="1:7" x14ac:dyDescent="0.3">
      <c r="B47" t="s">
        <v>137</v>
      </c>
      <c r="D47">
        <v>15</v>
      </c>
      <c r="E47">
        <v>2</v>
      </c>
      <c r="F47">
        <v>1</v>
      </c>
      <c r="G47">
        <v>0</v>
      </c>
    </row>
    <row r="48" spans="1:7" x14ac:dyDescent="0.3">
      <c r="B48" t="s">
        <v>138</v>
      </c>
      <c r="D48">
        <v>18</v>
      </c>
      <c r="E48">
        <v>1</v>
      </c>
      <c r="F48">
        <v>1</v>
      </c>
      <c r="G48">
        <v>0</v>
      </c>
    </row>
    <row r="49" spans="1:8" x14ac:dyDescent="0.3">
      <c r="A49" t="s">
        <v>139</v>
      </c>
    </row>
    <row r="50" spans="1:8" x14ac:dyDescent="0.3">
      <c r="B50" t="s">
        <v>140</v>
      </c>
      <c r="D50">
        <v>15</v>
      </c>
      <c r="E50">
        <v>1.5</v>
      </c>
      <c r="F50">
        <v>0.5</v>
      </c>
      <c r="G50">
        <v>0</v>
      </c>
    </row>
    <row r="51" spans="1:8" x14ac:dyDescent="0.3">
      <c r="A51" t="s">
        <v>141</v>
      </c>
    </row>
    <row r="52" spans="1:8" x14ac:dyDescent="0.3">
      <c r="B52" t="s">
        <v>142</v>
      </c>
      <c r="D52">
        <v>20</v>
      </c>
      <c r="E52">
        <v>2</v>
      </c>
      <c r="F52">
        <v>1.5</v>
      </c>
      <c r="G52">
        <v>10</v>
      </c>
      <c r="H52" t="s">
        <v>3</v>
      </c>
    </row>
    <row r="53" spans="1:8" x14ac:dyDescent="0.3">
      <c r="B53" t="s">
        <v>143</v>
      </c>
    </row>
    <row r="54" spans="1:8" x14ac:dyDescent="0.3">
      <c r="B54" t="s">
        <v>144</v>
      </c>
      <c r="D54">
        <v>20</v>
      </c>
      <c r="E54">
        <v>2</v>
      </c>
      <c r="F54">
        <v>2</v>
      </c>
      <c r="G54">
        <v>20</v>
      </c>
    </row>
    <row r="55" spans="1:8" x14ac:dyDescent="0.3">
      <c r="B55" t="s">
        <v>145</v>
      </c>
    </row>
    <row r="56" spans="1:8" x14ac:dyDescent="0.3">
      <c r="B56" t="s">
        <v>146</v>
      </c>
      <c r="D56">
        <v>20</v>
      </c>
      <c r="E56">
        <v>2</v>
      </c>
      <c r="F56">
        <v>1.5</v>
      </c>
      <c r="G56">
        <v>20</v>
      </c>
    </row>
    <row r="57" spans="1:8" x14ac:dyDescent="0.3">
      <c r="B57" t="s">
        <v>147</v>
      </c>
    </row>
    <row r="58" spans="1:8" x14ac:dyDescent="0.3">
      <c r="B58" t="s">
        <v>148</v>
      </c>
      <c r="D58">
        <v>18</v>
      </c>
      <c r="E58">
        <v>1.5</v>
      </c>
      <c r="F58">
        <v>1</v>
      </c>
      <c r="G58">
        <v>20</v>
      </c>
    </row>
    <row r="59" spans="1:8" x14ac:dyDescent="0.3">
      <c r="B59" t="s">
        <v>149</v>
      </c>
      <c r="D59">
        <v>20</v>
      </c>
      <c r="E59">
        <v>1</v>
      </c>
      <c r="F59">
        <v>1</v>
      </c>
      <c r="G59">
        <v>20</v>
      </c>
    </row>
    <row r="60" spans="1:8" x14ac:dyDescent="0.3">
      <c r="B60" t="s">
        <v>150</v>
      </c>
      <c r="D60">
        <v>20</v>
      </c>
      <c r="E60">
        <v>1</v>
      </c>
      <c r="F60">
        <v>1.5</v>
      </c>
      <c r="G60">
        <v>20</v>
      </c>
      <c r="H60" t="s">
        <v>151</v>
      </c>
    </row>
    <row r="61" spans="1:8" x14ac:dyDescent="0.3">
      <c r="B61" t="s">
        <v>152</v>
      </c>
    </row>
    <row r="62" spans="1:8" x14ac:dyDescent="0.3">
      <c r="A62" t="s">
        <v>153</v>
      </c>
    </row>
    <row r="63" spans="1:8" x14ac:dyDescent="0.3">
      <c r="B63" t="s">
        <v>154</v>
      </c>
      <c r="D63">
        <v>20</v>
      </c>
      <c r="E63">
        <v>2</v>
      </c>
      <c r="F63">
        <v>2.5</v>
      </c>
      <c r="G63">
        <v>10</v>
      </c>
    </row>
    <row r="64" spans="1:8" x14ac:dyDescent="0.3">
      <c r="B64" t="s">
        <v>155</v>
      </c>
    </row>
    <row r="65" spans="1:7" x14ac:dyDescent="0.3">
      <c r="B65" t="s">
        <v>156</v>
      </c>
      <c r="D65">
        <v>15</v>
      </c>
      <c r="E65">
        <v>2</v>
      </c>
      <c r="F65">
        <v>2.5</v>
      </c>
      <c r="G65">
        <v>20</v>
      </c>
    </row>
    <row r="66" spans="1:7" x14ac:dyDescent="0.3">
      <c r="B66" t="s">
        <v>157</v>
      </c>
    </row>
    <row r="67" spans="1:7" x14ac:dyDescent="0.3">
      <c r="B67" t="s">
        <v>158</v>
      </c>
      <c r="D67">
        <v>10</v>
      </c>
      <c r="E67">
        <v>4</v>
      </c>
      <c r="F67">
        <v>1.5</v>
      </c>
      <c r="G67">
        <v>50</v>
      </c>
    </row>
    <row r="68" spans="1:7" x14ac:dyDescent="0.3">
      <c r="B68" t="s">
        <v>159</v>
      </c>
      <c r="D68">
        <v>25</v>
      </c>
      <c r="E68">
        <v>1</v>
      </c>
      <c r="F68">
        <v>1.5</v>
      </c>
      <c r="G68">
        <v>80</v>
      </c>
    </row>
    <row r="69" spans="1:7" x14ac:dyDescent="0.3">
      <c r="B69" t="s">
        <v>160</v>
      </c>
      <c r="D69">
        <v>15</v>
      </c>
      <c r="E69">
        <v>3</v>
      </c>
      <c r="F69">
        <v>1.5</v>
      </c>
      <c r="G69">
        <v>30</v>
      </c>
    </row>
    <row r="70" spans="1:7" x14ac:dyDescent="0.3">
      <c r="B70" t="s">
        <v>161</v>
      </c>
    </row>
    <row r="71" spans="1:7" x14ac:dyDescent="0.3">
      <c r="B71" t="s">
        <v>162</v>
      </c>
      <c r="D71">
        <v>20</v>
      </c>
      <c r="E71">
        <v>1</v>
      </c>
      <c r="F71">
        <v>2</v>
      </c>
      <c r="G71">
        <v>0</v>
      </c>
    </row>
    <row r="72" spans="1:7" x14ac:dyDescent="0.3">
      <c r="B72" t="s">
        <v>163</v>
      </c>
      <c r="D72">
        <v>12</v>
      </c>
      <c r="E72">
        <v>2</v>
      </c>
      <c r="F72">
        <v>10</v>
      </c>
      <c r="G72">
        <v>0</v>
      </c>
    </row>
    <row r="73" spans="1:7" x14ac:dyDescent="0.3">
      <c r="B73" t="s">
        <v>164</v>
      </c>
      <c r="D73">
        <v>12</v>
      </c>
      <c r="E73">
        <v>2</v>
      </c>
      <c r="F73">
        <v>10</v>
      </c>
      <c r="G73">
        <v>0</v>
      </c>
    </row>
    <row r="74" spans="1:7" x14ac:dyDescent="0.3">
      <c r="A74" t="s">
        <v>165</v>
      </c>
    </row>
    <row r="75" spans="1:7" x14ac:dyDescent="0.3">
      <c r="B75" t="s">
        <v>166</v>
      </c>
      <c r="D75">
        <v>25</v>
      </c>
      <c r="E75">
        <v>1</v>
      </c>
      <c r="F75">
        <v>1.5</v>
      </c>
      <c r="G75">
        <v>5</v>
      </c>
    </row>
    <row r="76" spans="1:7" x14ac:dyDescent="0.3">
      <c r="B76" t="s">
        <v>167</v>
      </c>
      <c r="D76">
        <v>25</v>
      </c>
      <c r="E76">
        <v>1</v>
      </c>
      <c r="F76">
        <v>1.5</v>
      </c>
      <c r="G76">
        <v>5</v>
      </c>
    </row>
    <row r="77" spans="1:7" x14ac:dyDescent="0.3">
      <c r="B77" t="s">
        <v>168</v>
      </c>
      <c r="D77">
        <v>25</v>
      </c>
      <c r="E77">
        <v>1</v>
      </c>
      <c r="F77">
        <v>1.5</v>
      </c>
      <c r="G77">
        <v>5</v>
      </c>
    </row>
    <row r="78" spans="1:7" x14ac:dyDescent="0.3">
      <c r="B78" t="s">
        <v>169</v>
      </c>
      <c r="D78">
        <v>25</v>
      </c>
      <c r="E78">
        <v>1</v>
      </c>
      <c r="F78">
        <v>1.5</v>
      </c>
      <c r="G78">
        <v>5</v>
      </c>
    </row>
    <row r="79" spans="1:7" x14ac:dyDescent="0.3">
      <c r="A79" t="s">
        <v>170</v>
      </c>
    </row>
    <row r="80" spans="1:7" x14ac:dyDescent="0.3">
      <c r="B80" t="s">
        <v>171</v>
      </c>
      <c r="D80">
        <v>20</v>
      </c>
      <c r="E80">
        <v>3</v>
      </c>
      <c r="F80">
        <v>1</v>
      </c>
      <c r="G80">
        <v>20</v>
      </c>
    </row>
    <row r="81" spans="1:7" x14ac:dyDescent="0.3">
      <c r="B81" t="s">
        <v>128</v>
      </c>
      <c r="D81">
        <v>15</v>
      </c>
      <c r="E81">
        <v>3</v>
      </c>
      <c r="F81">
        <v>1.5</v>
      </c>
      <c r="G81">
        <v>40</v>
      </c>
    </row>
    <row r="82" spans="1:7" x14ac:dyDescent="0.3">
      <c r="B82" t="s">
        <v>172</v>
      </c>
      <c r="D82">
        <v>15</v>
      </c>
      <c r="E82">
        <v>3</v>
      </c>
      <c r="F82">
        <v>1.5</v>
      </c>
      <c r="G82">
        <v>40</v>
      </c>
    </row>
    <row r="83" spans="1:7" x14ac:dyDescent="0.3">
      <c r="B83" t="s">
        <v>173</v>
      </c>
      <c r="D83">
        <v>15</v>
      </c>
      <c r="E83">
        <v>6</v>
      </c>
      <c r="F83">
        <v>2</v>
      </c>
      <c r="G83">
        <v>100</v>
      </c>
    </row>
    <row r="84" spans="1:7" x14ac:dyDescent="0.3">
      <c r="A84" t="s">
        <v>174</v>
      </c>
    </row>
    <row r="85" spans="1:7" x14ac:dyDescent="0.3">
      <c r="B85" t="s">
        <v>175</v>
      </c>
      <c r="D85">
        <v>20</v>
      </c>
      <c r="E85">
        <v>0.5</v>
      </c>
      <c r="F85">
        <v>0.5</v>
      </c>
      <c r="G85">
        <v>5</v>
      </c>
    </row>
    <row r="86" spans="1:7" x14ac:dyDescent="0.3">
      <c r="B86" t="s">
        <v>176</v>
      </c>
      <c r="D86">
        <v>20</v>
      </c>
      <c r="E86">
        <v>0.5</v>
      </c>
      <c r="F86">
        <v>0.5</v>
      </c>
      <c r="G86">
        <v>5</v>
      </c>
    </row>
    <row r="87" spans="1:7" x14ac:dyDescent="0.3">
      <c r="B87" t="s">
        <v>177</v>
      </c>
      <c r="D87">
        <v>20</v>
      </c>
      <c r="E87">
        <v>0.5</v>
      </c>
      <c r="F87">
        <v>0.5</v>
      </c>
      <c r="G87">
        <v>5</v>
      </c>
    </row>
    <row r="88" spans="1:7" x14ac:dyDescent="0.3">
      <c r="B88" t="s">
        <v>178</v>
      </c>
      <c r="D88">
        <v>18</v>
      </c>
      <c r="E88">
        <v>0.5</v>
      </c>
      <c r="F88">
        <v>0.5</v>
      </c>
      <c r="G88">
        <v>5</v>
      </c>
    </row>
    <row r="89" spans="1:7" x14ac:dyDescent="0.3">
      <c r="B89" t="s">
        <v>179</v>
      </c>
      <c r="D89">
        <v>15</v>
      </c>
      <c r="E89">
        <v>1</v>
      </c>
      <c r="F89">
        <v>1</v>
      </c>
      <c r="G89">
        <v>5</v>
      </c>
    </row>
    <row r="90" spans="1:7" x14ac:dyDescent="0.3">
      <c r="A90" t="s">
        <v>180</v>
      </c>
    </row>
    <row r="91" spans="1:7" x14ac:dyDescent="0.3">
      <c r="B91" t="s">
        <v>181</v>
      </c>
      <c r="D91">
        <v>10</v>
      </c>
      <c r="E91">
        <v>1</v>
      </c>
      <c r="F91">
        <v>1</v>
      </c>
      <c r="G91">
        <v>0</v>
      </c>
    </row>
    <row r="92" spans="1:7" x14ac:dyDescent="0.3">
      <c r="B92" t="s">
        <v>182</v>
      </c>
      <c r="D92">
        <v>15</v>
      </c>
      <c r="E92">
        <v>1</v>
      </c>
      <c r="F92">
        <v>1</v>
      </c>
      <c r="G92">
        <v>0</v>
      </c>
    </row>
    <row r="93" spans="1:7" x14ac:dyDescent="0.3">
      <c r="A93" s="115" t="s">
        <v>183</v>
      </c>
    </row>
    <row r="94" spans="1:7" x14ac:dyDescent="0.3">
      <c r="B94" t="s">
        <v>184</v>
      </c>
      <c r="D94">
        <v>20</v>
      </c>
      <c r="E94">
        <v>2</v>
      </c>
      <c r="F94">
        <v>0</v>
      </c>
      <c r="G94">
        <v>0</v>
      </c>
    </row>
    <row r="95" spans="1:7" x14ac:dyDescent="0.3">
      <c r="B95" t="s">
        <v>185</v>
      </c>
      <c r="D95">
        <v>12</v>
      </c>
      <c r="E95">
        <v>2</v>
      </c>
      <c r="F95">
        <v>0</v>
      </c>
      <c r="G95">
        <v>0</v>
      </c>
    </row>
    <row r="96" spans="1:7" x14ac:dyDescent="0.3">
      <c r="B96" t="s">
        <v>186</v>
      </c>
      <c r="D96">
        <v>12</v>
      </c>
      <c r="E96">
        <v>2</v>
      </c>
      <c r="F96">
        <v>0</v>
      </c>
      <c r="G96">
        <v>0</v>
      </c>
    </row>
    <row r="97" spans="1:2" x14ac:dyDescent="0.3">
      <c r="A97" t="s">
        <v>187</v>
      </c>
    </row>
    <row r="98" spans="1:2" x14ac:dyDescent="0.3">
      <c r="A98" t="s">
        <v>188</v>
      </c>
    </row>
    <row r="99" spans="1:2" x14ac:dyDescent="0.3">
      <c r="A99" t="s">
        <v>189</v>
      </c>
      <c r="B99" t="s">
        <v>189</v>
      </c>
    </row>
    <row r="100" spans="1:2" x14ac:dyDescent="0.3">
      <c r="A100" t="s">
        <v>190</v>
      </c>
      <c r="B100" t="s">
        <v>190</v>
      </c>
    </row>
    <row r="101" spans="1:2" x14ac:dyDescent="0.3">
      <c r="A101" t="s">
        <v>191</v>
      </c>
      <c r="B101" t="s">
        <v>191</v>
      </c>
    </row>
    <row r="102" spans="1:2" x14ac:dyDescent="0.3">
      <c r="A102" t="s">
        <v>192</v>
      </c>
    </row>
    <row r="103" spans="1:2" x14ac:dyDescent="0.3">
      <c r="A103" t="s">
        <v>193</v>
      </c>
      <c r="B103" t="s">
        <v>193</v>
      </c>
    </row>
    <row r="104" spans="1:2" x14ac:dyDescent="0.3">
      <c r="A104" t="s">
        <v>194</v>
      </c>
      <c r="B104" t="s">
        <v>194</v>
      </c>
    </row>
    <row r="105" spans="1:2" x14ac:dyDescent="0.3">
      <c r="A105" t="s">
        <v>195</v>
      </c>
      <c r="B105" t="s">
        <v>195</v>
      </c>
    </row>
    <row r="106" spans="1:2" x14ac:dyDescent="0.3">
      <c r="A106" t="s">
        <v>196</v>
      </c>
      <c r="B106" t="s">
        <v>196</v>
      </c>
    </row>
    <row r="107" spans="1:2" x14ac:dyDescent="0.3">
      <c r="A107" t="s">
        <v>197</v>
      </c>
      <c r="B107" t="s">
        <v>197</v>
      </c>
    </row>
    <row r="108" spans="1:2" x14ac:dyDescent="0.3">
      <c r="A108" t="s">
        <v>198</v>
      </c>
      <c r="B108" t="s">
        <v>198</v>
      </c>
    </row>
    <row r="109" spans="1:2" x14ac:dyDescent="0.3">
      <c r="A109" t="s">
        <v>199</v>
      </c>
      <c r="B109" t="s">
        <v>199</v>
      </c>
    </row>
    <row r="110" spans="1:2" x14ac:dyDescent="0.3">
      <c r="A110" t="s">
        <v>200</v>
      </c>
      <c r="B110" t="s">
        <v>200</v>
      </c>
    </row>
    <row r="111" spans="1:2" x14ac:dyDescent="0.3">
      <c r="A111" t="s">
        <v>201</v>
      </c>
      <c r="B111" t="s">
        <v>201</v>
      </c>
    </row>
    <row r="112" spans="1:2" x14ac:dyDescent="0.3">
      <c r="A112" t="s">
        <v>202</v>
      </c>
      <c r="B112" t="s">
        <v>202</v>
      </c>
    </row>
    <row r="113" spans="1:2" x14ac:dyDescent="0.3">
      <c r="A113" t="s">
        <v>203</v>
      </c>
      <c r="B113" t="s">
        <v>203</v>
      </c>
    </row>
    <row r="114" spans="1:2" x14ac:dyDescent="0.3">
      <c r="A114" t="s">
        <v>204</v>
      </c>
      <c r="B114" t="s">
        <v>204</v>
      </c>
    </row>
    <row r="115" spans="1:2" x14ac:dyDescent="0.3">
      <c r="A115" t="s">
        <v>205</v>
      </c>
      <c r="B115" t="s">
        <v>205</v>
      </c>
    </row>
    <row r="116" spans="1:2" x14ac:dyDescent="0.3">
      <c r="A116" t="s">
        <v>206</v>
      </c>
      <c r="B116" t="s">
        <v>206</v>
      </c>
    </row>
    <row r="117" spans="1:2" x14ac:dyDescent="0.3">
      <c r="A117" t="s">
        <v>207</v>
      </c>
      <c r="B117" t="s">
        <v>207</v>
      </c>
    </row>
    <row r="118" spans="1:2" x14ac:dyDescent="0.3">
      <c r="A118" t="s">
        <v>208</v>
      </c>
      <c r="B118" t="s">
        <v>208</v>
      </c>
    </row>
    <row r="119" spans="1:2" x14ac:dyDescent="0.3">
      <c r="A119" t="s">
        <v>209</v>
      </c>
      <c r="B119" t="s">
        <v>209</v>
      </c>
    </row>
    <row r="120" spans="1:2" x14ac:dyDescent="0.3">
      <c r="A120" t="s">
        <v>210</v>
      </c>
      <c r="B120" t="s">
        <v>210</v>
      </c>
    </row>
    <row r="121" spans="1:2" x14ac:dyDescent="0.3">
      <c r="A121" t="s">
        <v>204</v>
      </c>
      <c r="B121" t="s">
        <v>204</v>
      </c>
    </row>
    <row r="122" spans="1:2" x14ac:dyDescent="0.3">
      <c r="A122" t="s">
        <v>211</v>
      </c>
      <c r="B122" t="s">
        <v>211</v>
      </c>
    </row>
    <row r="123" spans="1:2" x14ac:dyDescent="0.3">
      <c r="A123" t="s">
        <v>212</v>
      </c>
      <c r="B123" t="s">
        <v>212</v>
      </c>
    </row>
    <row r="124" spans="1:2" x14ac:dyDescent="0.3">
      <c r="A124" t="s">
        <v>213</v>
      </c>
      <c r="B124" t="s">
        <v>213</v>
      </c>
    </row>
    <row r="125" spans="1:2" x14ac:dyDescent="0.3">
      <c r="A125" t="s">
        <v>214</v>
      </c>
      <c r="B125" t="s">
        <v>214</v>
      </c>
    </row>
    <row r="126" spans="1:2" x14ac:dyDescent="0.3">
      <c r="A126" t="s">
        <v>215</v>
      </c>
      <c r="B126" t="s">
        <v>215</v>
      </c>
    </row>
    <row r="127" spans="1:2" x14ac:dyDescent="0.3">
      <c r="A127" t="s">
        <v>216</v>
      </c>
      <c r="B127" t="s">
        <v>216</v>
      </c>
    </row>
    <row r="128" spans="1:2" x14ac:dyDescent="0.3">
      <c r="A128" t="s">
        <v>217</v>
      </c>
      <c r="B128" t="s">
        <v>217</v>
      </c>
    </row>
    <row r="129" spans="1:6" x14ac:dyDescent="0.3">
      <c r="A129" t="s">
        <v>218</v>
      </c>
    </row>
    <row r="130" spans="1:6" x14ac:dyDescent="0.3">
      <c r="A130" t="s">
        <v>219</v>
      </c>
      <c r="B130" t="s">
        <v>219</v>
      </c>
    </row>
    <row r="131" spans="1:6" x14ac:dyDescent="0.3">
      <c r="A131" t="s">
        <v>220</v>
      </c>
      <c r="B131" t="s">
        <v>220</v>
      </c>
    </row>
    <row r="132" spans="1:6" x14ac:dyDescent="0.3">
      <c r="A132" t="s">
        <v>221</v>
      </c>
      <c r="B132" t="s">
        <v>221</v>
      </c>
    </row>
    <row r="133" spans="1:6" x14ac:dyDescent="0.3">
      <c r="A133" t="s">
        <v>222</v>
      </c>
      <c r="B133" t="s">
        <v>222</v>
      </c>
    </row>
    <row r="134" spans="1:6" x14ac:dyDescent="0.3">
      <c r="A134" t="s">
        <v>223</v>
      </c>
      <c r="B134" t="s">
        <v>3</v>
      </c>
    </row>
    <row r="135" spans="1:6" x14ac:dyDescent="0.3">
      <c r="A135" t="s">
        <v>224</v>
      </c>
      <c r="B135" t="s">
        <v>3</v>
      </c>
    </row>
    <row r="136" spans="1:6" x14ac:dyDescent="0.3">
      <c r="A136" t="s">
        <v>225</v>
      </c>
    </row>
    <row r="137" spans="1:6" x14ac:dyDescent="0.3">
      <c r="A137" t="s">
        <v>3</v>
      </c>
      <c r="B137" t="s">
        <v>226</v>
      </c>
      <c r="C137">
        <v>20</v>
      </c>
      <c r="D137">
        <v>0</v>
      </c>
      <c r="E137">
        <v>0.5</v>
      </c>
      <c r="F137">
        <v>0</v>
      </c>
    </row>
    <row r="138" spans="1:6" x14ac:dyDescent="0.3">
      <c r="A138" t="s">
        <v>3</v>
      </c>
      <c r="B138" t="s">
        <v>227</v>
      </c>
      <c r="C138">
        <v>20</v>
      </c>
      <c r="D138">
        <v>0</v>
      </c>
      <c r="E138">
        <v>0.5</v>
      </c>
      <c r="F138">
        <v>0</v>
      </c>
    </row>
    <row r="139" spans="1:6" x14ac:dyDescent="0.3">
      <c r="A139" t="s">
        <v>3</v>
      </c>
      <c r="B139" t="s">
        <v>228</v>
      </c>
      <c r="C139">
        <v>20</v>
      </c>
      <c r="D139">
        <v>0</v>
      </c>
      <c r="E139">
        <v>0.5</v>
      </c>
      <c r="F139">
        <v>0</v>
      </c>
    </row>
    <row r="140" spans="1:6" x14ac:dyDescent="0.3">
      <c r="A140" t="s">
        <v>229</v>
      </c>
      <c r="B140" t="s">
        <v>3</v>
      </c>
    </row>
    <row r="141" spans="1:6" x14ac:dyDescent="0.3">
      <c r="A141" t="s">
        <v>230</v>
      </c>
      <c r="B141" t="s">
        <v>3</v>
      </c>
    </row>
    <row r="142" spans="1:6" x14ac:dyDescent="0.3">
      <c r="A142" t="s">
        <v>231</v>
      </c>
      <c r="B142" t="s">
        <v>3</v>
      </c>
    </row>
    <row r="143" spans="1:6" x14ac:dyDescent="0.3">
      <c r="A143" t="s">
        <v>3</v>
      </c>
      <c r="B143" t="s">
        <v>232</v>
      </c>
      <c r="C143">
        <v>20</v>
      </c>
      <c r="D143">
        <v>1</v>
      </c>
      <c r="E143">
        <v>1</v>
      </c>
      <c r="F143">
        <v>0</v>
      </c>
    </row>
    <row r="144" spans="1:6" x14ac:dyDescent="0.3">
      <c r="A144" t="s">
        <v>3</v>
      </c>
      <c r="B144" t="s">
        <v>233</v>
      </c>
      <c r="C144">
        <v>20</v>
      </c>
      <c r="D144">
        <v>1</v>
      </c>
      <c r="E144">
        <v>1</v>
      </c>
      <c r="F144">
        <v>0</v>
      </c>
    </row>
    <row r="145" spans="1:6" x14ac:dyDescent="0.3">
      <c r="A145" t="s">
        <v>3</v>
      </c>
      <c r="B145" t="s">
        <v>234</v>
      </c>
      <c r="C145">
        <v>20</v>
      </c>
      <c r="D145">
        <v>1</v>
      </c>
      <c r="E145">
        <v>0.5</v>
      </c>
      <c r="F145">
        <v>0</v>
      </c>
    </row>
    <row r="146" spans="1:6" x14ac:dyDescent="0.3">
      <c r="A146" t="s">
        <v>235</v>
      </c>
      <c r="B146" t="s">
        <v>3</v>
      </c>
    </row>
    <row r="147" spans="1:6" x14ac:dyDescent="0.3">
      <c r="A147" t="s">
        <v>3</v>
      </c>
      <c r="B147" t="s">
        <v>232</v>
      </c>
      <c r="C147">
        <v>20</v>
      </c>
      <c r="D147">
        <v>1</v>
      </c>
      <c r="E147">
        <v>1</v>
      </c>
      <c r="F147">
        <v>0</v>
      </c>
    </row>
    <row r="148" spans="1:6" x14ac:dyDescent="0.3">
      <c r="A148" t="s">
        <v>3</v>
      </c>
      <c r="B148" t="s">
        <v>233</v>
      </c>
      <c r="C148">
        <v>20</v>
      </c>
      <c r="D148">
        <v>1</v>
      </c>
      <c r="E148">
        <v>1</v>
      </c>
      <c r="F148">
        <v>0</v>
      </c>
    </row>
    <row r="149" spans="1:6" x14ac:dyDescent="0.3">
      <c r="A149" t="s">
        <v>3</v>
      </c>
      <c r="B149" t="s">
        <v>234</v>
      </c>
      <c r="C149">
        <v>20</v>
      </c>
      <c r="D149">
        <v>1</v>
      </c>
      <c r="E149">
        <v>0.5</v>
      </c>
      <c r="F149">
        <v>0</v>
      </c>
    </row>
    <row r="150" spans="1:6" x14ac:dyDescent="0.3">
      <c r="A150" t="s">
        <v>236</v>
      </c>
      <c r="B150" t="s">
        <v>3</v>
      </c>
    </row>
    <row r="151" spans="1:6" x14ac:dyDescent="0.3">
      <c r="A151" t="s">
        <v>3</v>
      </c>
      <c r="B151" t="s">
        <v>237</v>
      </c>
      <c r="C151">
        <v>20</v>
      </c>
      <c r="D151">
        <v>1</v>
      </c>
      <c r="E151">
        <v>1</v>
      </c>
      <c r="F151">
        <v>0</v>
      </c>
    </row>
    <row r="152" spans="1:6" x14ac:dyDescent="0.3">
      <c r="A152" t="s">
        <v>3</v>
      </c>
      <c r="B152" t="s">
        <v>126</v>
      </c>
      <c r="C152">
        <v>20</v>
      </c>
      <c r="D152">
        <v>1</v>
      </c>
      <c r="E152">
        <v>1</v>
      </c>
      <c r="F152">
        <v>0</v>
      </c>
    </row>
    <row r="153" spans="1:6" x14ac:dyDescent="0.3">
      <c r="A153" t="s">
        <v>3</v>
      </c>
      <c r="B153" t="s">
        <v>128</v>
      </c>
      <c r="C153">
        <v>20</v>
      </c>
      <c r="D153">
        <v>1</v>
      </c>
      <c r="E153">
        <v>1</v>
      </c>
      <c r="F153">
        <v>0</v>
      </c>
    </row>
    <row r="154" spans="1:6" x14ac:dyDescent="0.3">
      <c r="A154" t="s">
        <v>238</v>
      </c>
      <c r="B154" t="s">
        <v>3</v>
      </c>
    </row>
    <row r="155" spans="1:6" x14ac:dyDescent="0.3">
      <c r="A155" t="s">
        <v>3</v>
      </c>
      <c r="B155" t="s">
        <v>237</v>
      </c>
      <c r="C155">
        <v>20</v>
      </c>
      <c r="D155">
        <v>0</v>
      </c>
      <c r="E155">
        <v>0</v>
      </c>
      <c r="F155">
        <v>0</v>
      </c>
    </row>
    <row r="156" spans="1:6" x14ac:dyDescent="0.3">
      <c r="A156" t="s">
        <v>3</v>
      </c>
      <c r="B156" t="s">
        <v>126</v>
      </c>
      <c r="C156">
        <v>20</v>
      </c>
      <c r="D156">
        <v>0</v>
      </c>
      <c r="E156">
        <v>0</v>
      </c>
      <c r="F156">
        <v>0</v>
      </c>
    </row>
    <row r="157" spans="1:6" x14ac:dyDescent="0.3">
      <c r="A157" t="s">
        <v>3</v>
      </c>
      <c r="B157" t="s">
        <v>128</v>
      </c>
      <c r="C157">
        <v>20</v>
      </c>
      <c r="D157">
        <v>0</v>
      </c>
      <c r="E157">
        <v>0</v>
      </c>
      <c r="F157">
        <v>0</v>
      </c>
    </row>
    <row r="158" spans="1:6" x14ac:dyDescent="0.3">
      <c r="A158" t="s">
        <v>239</v>
      </c>
      <c r="B158" t="s">
        <v>3</v>
      </c>
    </row>
    <row r="159" spans="1:6" x14ac:dyDescent="0.3">
      <c r="A159" t="s">
        <v>3</v>
      </c>
      <c r="B159" t="s">
        <v>240</v>
      </c>
      <c r="C159">
        <v>20</v>
      </c>
      <c r="D159">
        <v>2</v>
      </c>
      <c r="E159">
        <v>10</v>
      </c>
      <c r="F159">
        <v>0</v>
      </c>
    </row>
    <row r="160" spans="1:6" x14ac:dyDescent="0.3">
      <c r="A160" t="s">
        <v>241</v>
      </c>
      <c r="B160" t="s">
        <v>241</v>
      </c>
      <c r="C160">
        <v>20</v>
      </c>
      <c r="D160">
        <v>2</v>
      </c>
      <c r="E160">
        <v>10</v>
      </c>
      <c r="F160">
        <v>0</v>
      </c>
    </row>
    <row r="161" spans="1:6" x14ac:dyDescent="0.3">
      <c r="A161" t="s">
        <v>242</v>
      </c>
      <c r="B161" t="s">
        <v>242</v>
      </c>
      <c r="C161">
        <v>20</v>
      </c>
      <c r="D161">
        <v>2</v>
      </c>
      <c r="E161">
        <v>10</v>
      </c>
      <c r="F161">
        <v>0</v>
      </c>
    </row>
    <row r="162" spans="1:6" x14ac:dyDescent="0.3">
      <c r="A162" t="s">
        <v>243</v>
      </c>
      <c r="B162" t="s">
        <v>243</v>
      </c>
      <c r="C162">
        <v>15</v>
      </c>
      <c r="D162">
        <v>3</v>
      </c>
      <c r="E162">
        <v>10</v>
      </c>
      <c r="F162">
        <v>0</v>
      </c>
    </row>
    <row r="163" spans="1:6" x14ac:dyDescent="0.3">
      <c r="A163" t="s">
        <v>244</v>
      </c>
      <c r="B163" t="s">
        <v>3</v>
      </c>
    </row>
    <row r="164" spans="1:6" x14ac:dyDescent="0.3">
      <c r="A164" t="s">
        <v>245</v>
      </c>
      <c r="B164" t="s">
        <v>3</v>
      </c>
    </row>
    <row r="165" spans="1:6" x14ac:dyDescent="0.3">
      <c r="A165" t="s">
        <v>3</v>
      </c>
      <c r="B165" t="s">
        <v>237</v>
      </c>
      <c r="C165">
        <v>20</v>
      </c>
      <c r="D165">
        <v>2</v>
      </c>
      <c r="E165">
        <v>4</v>
      </c>
      <c r="F165">
        <v>0</v>
      </c>
    </row>
    <row r="166" spans="1:6" x14ac:dyDescent="0.3">
      <c r="A166" t="s">
        <v>3</v>
      </c>
      <c r="B166" t="s">
        <v>246</v>
      </c>
      <c r="C166">
        <v>20</v>
      </c>
      <c r="D166">
        <v>2</v>
      </c>
      <c r="E166">
        <v>4</v>
      </c>
      <c r="F166">
        <v>0</v>
      </c>
    </row>
    <row r="167" spans="1:6" x14ac:dyDescent="0.3">
      <c r="A167" t="s">
        <v>247</v>
      </c>
      <c r="B167" t="s">
        <v>3</v>
      </c>
    </row>
    <row r="168" spans="1:6" x14ac:dyDescent="0.3">
      <c r="A168" t="s">
        <v>3</v>
      </c>
      <c r="B168" t="s">
        <v>248</v>
      </c>
      <c r="C168">
        <v>20</v>
      </c>
      <c r="D168">
        <v>2</v>
      </c>
      <c r="E168">
        <v>10</v>
      </c>
      <c r="F168">
        <v>0</v>
      </c>
    </row>
    <row r="169" spans="1:6" x14ac:dyDescent="0.3">
      <c r="A169" t="s">
        <v>3</v>
      </c>
      <c r="B169" t="s">
        <v>241</v>
      </c>
    </row>
    <row r="170" spans="1:6" x14ac:dyDescent="0.3">
      <c r="A170" t="s">
        <v>3</v>
      </c>
      <c r="B170" t="s">
        <v>242</v>
      </c>
    </row>
    <row r="171" spans="1:6" x14ac:dyDescent="0.3">
      <c r="A171" t="s">
        <v>3</v>
      </c>
      <c r="B171" t="s">
        <v>243</v>
      </c>
    </row>
    <row r="172" spans="1:6" x14ac:dyDescent="0.3">
      <c r="A172" t="s">
        <v>3</v>
      </c>
      <c r="B172" t="s">
        <v>249</v>
      </c>
    </row>
    <row r="173" spans="1:6" x14ac:dyDescent="0.3">
      <c r="A173" t="s">
        <v>250</v>
      </c>
      <c r="B173" t="s">
        <v>3</v>
      </c>
    </row>
    <row r="174" spans="1:6" x14ac:dyDescent="0.3">
      <c r="A174" t="s">
        <v>251</v>
      </c>
    </row>
    <row r="175" spans="1:6" x14ac:dyDescent="0.3">
      <c r="A175" t="s">
        <v>3</v>
      </c>
      <c r="B175" t="s">
        <v>252</v>
      </c>
    </row>
    <row r="176" spans="1:6" x14ac:dyDescent="0.3">
      <c r="A176" t="s">
        <v>3</v>
      </c>
      <c r="B176" t="s">
        <v>253</v>
      </c>
    </row>
    <row r="177" spans="1:2" x14ac:dyDescent="0.3">
      <c r="A177" t="s">
        <v>3</v>
      </c>
      <c r="B177" t="s">
        <v>254</v>
      </c>
    </row>
    <row r="178" spans="1:2" x14ac:dyDescent="0.3">
      <c r="A178" t="s">
        <v>3</v>
      </c>
      <c r="B178" t="s">
        <v>255</v>
      </c>
    </row>
    <row r="179" spans="1:2" x14ac:dyDescent="0.3">
      <c r="A179" t="s">
        <v>3</v>
      </c>
      <c r="B179" t="s">
        <v>256</v>
      </c>
    </row>
    <row r="180" spans="1:2" x14ac:dyDescent="0.3">
      <c r="A180" t="s">
        <v>3</v>
      </c>
      <c r="B180" t="s">
        <v>257</v>
      </c>
    </row>
    <row r="181" spans="1:2" x14ac:dyDescent="0.3">
      <c r="A181" t="s">
        <v>3</v>
      </c>
      <c r="B181" t="s">
        <v>258</v>
      </c>
    </row>
    <row r="182" spans="1:2" x14ac:dyDescent="0.3">
      <c r="A182" t="s">
        <v>3</v>
      </c>
      <c r="B182" t="s">
        <v>259</v>
      </c>
    </row>
    <row r="183" spans="1:2" x14ac:dyDescent="0.3">
      <c r="A183" t="s">
        <v>3</v>
      </c>
      <c r="B183" t="s">
        <v>260</v>
      </c>
    </row>
    <row r="184" spans="1:2" x14ac:dyDescent="0.3">
      <c r="A184" t="s">
        <v>3</v>
      </c>
      <c r="B184" t="s">
        <v>261</v>
      </c>
    </row>
    <row r="185" spans="1:2" x14ac:dyDescent="0.3">
      <c r="A185" t="s">
        <v>3</v>
      </c>
      <c r="B185" t="s">
        <v>258</v>
      </c>
    </row>
    <row r="186" spans="1:2" x14ac:dyDescent="0.3">
      <c r="A186" t="s">
        <v>262</v>
      </c>
      <c r="B186" t="s">
        <v>3</v>
      </c>
    </row>
    <row r="187" spans="1:2" x14ac:dyDescent="0.3">
      <c r="A187" t="s">
        <v>3</v>
      </c>
      <c r="B187" t="s">
        <v>263</v>
      </c>
    </row>
    <row r="188" spans="1:2" x14ac:dyDescent="0.3">
      <c r="A188" t="s">
        <v>3</v>
      </c>
      <c r="B188" t="s">
        <v>264</v>
      </c>
    </row>
    <row r="189" spans="1:2" x14ac:dyDescent="0.3">
      <c r="A189" t="s">
        <v>3</v>
      </c>
      <c r="B189" t="s">
        <v>254</v>
      </c>
    </row>
    <row r="190" spans="1:2" x14ac:dyDescent="0.3">
      <c r="A190" t="s">
        <v>3</v>
      </c>
      <c r="B190" t="s">
        <v>265</v>
      </c>
    </row>
    <row r="191" spans="1:2" x14ac:dyDescent="0.3">
      <c r="A191" t="s">
        <v>3</v>
      </c>
      <c r="B191" t="s">
        <v>266</v>
      </c>
    </row>
    <row r="192" spans="1:2" x14ac:dyDescent="0.3">
      <c r="A192" t="s">
        <v>3</v>
      </c>
      <c r="B192" t="s">
        <v>265</v>
      </c>
    </row>
    <row r="193" spans="1:2" x14ac:dyDescent="0.3">
      <c r="A193" t="s">
        <v>3</v>
      </c>
      <c r="B193" t="s">
        <v>267</v>
      </c>
    </row>
    <row r="194" spans="1:2" x14ac:dyDescent="0.3">
      <c r="A194" t="s">
        <v>268</v>
      </c>
      <c r="B194" t="s">
        <v>3</v>
      </c>
    </row>
    <row r="195" spans="1:2" x14ac:dyDescent="0.3">
      <c r="A195" t="s">
        <v>269</v>
      </c>
      <c r="B195" t="s">
        <v>3</v>
      </c>
    </row>
    <row r="196" spans="1:2" x14ac:dyDescent="0.3">
      <c r="A196" t="s">
        <v>3</v>
      </c>
      <c r="B196" t="s">
        <v>270</v>
      </c>
    </row>
    <row r="197" spans="1:2" x14ac:dyDescent="0.3">
      <c r="A197" t="s">
        <v>3</v>
      </c>
      <c r="B197" t="s">
        <v>271</v>
      </c>
    </row>
    <row r="198" spans="1:2" x14ac:dyDescent="0.3">
      <c r="A198" t="s">
        <v>3</v>
      </c>
      <c r="B198" t="s">
        <v>272</v>
      </c>
    </row>
    <row r="199" spans="1:2" x14ac:dyDescent="0.3">
      <c r="A199" t="s">
        <v>3</v>
      </c>
      <c r="B199" t="s">
        <v>273</v>
      </c>
    </row>
    <row r="200" spans="1:2" x14ac:dyDescent="0.3">
      <c r="A200" t="s">
        <v>3</v>
      </c>
      <c r="B200" t="s">
        <v>274</v>
      </c>
    </row>
    <row r="201" spans="1:2" x14ac:dyDescent="0.3">
      <c r="A201" t="s">
        <v>3</v>
      </c>
      <c r="B201" t="s">
        <v>275</v>
      </c>
    </row>
    <row r="202" spans="1:2" x14ac:dyDescent="0.3">
      <c r="A202" t="s">
        <v>276</v>
      </c>
      <c r="B202" t="s">
        <v>3</v>
      </c>
    </row>
    <row r="203" spans="1:2" x14ac:dyDescent="0.3">
      <c r="A203" t="s">
        <v>3</v>
      </c>
      <c r="B203" t="s">
        <v>277</v>
      </c>
    </row>
    <row r="204" spans="1:2" x14ac:dyDescent="0.3">
      <c r="A204" t="s">
        <v>3</v>
      </c>
      <c r="B204" t="s">
        <v>278</v>
      </c>
    </row>
    <row r="205" spans="1:2" x14ac:dyDescent="0.3">
      <c r="A205" t="s">
        <v>3</v>
      </c>
      <c r="B205" t="s">
        <v>279</v>
      </c>
    </row>
    <row r="206" spans="1:2" x14ac:dyDescent="0.3">
      <c r="A206" t="s">
        <v>280</v>
      </c>
      <c r="B206" t="s">
        <v>3</v>
      </c>
    </row>
    <row r="207" spans="1:2" x14ac:dyDescent="0.3">
      <c r="A207" t="s">
        <v>3</v>
      </c>
      <c r="B207" t="s">
        <v>281</v>
      </c>
    </row>
    <row r="208" spans="1:2" x14ac:dyDescent="0.3">
      <c r="A208" t="s">
        <v>3</v>
      </c>
      <c r="B208" t="s">
        <v>282</v>
      </c>
    </row>
    <row r="209" spans="1:2" x14ac:dyDescent="0.3">
      <c r="A209" t="s">
        <v>283</v>
      </c>
      <c r="B209" t="s">
        <v>3</v>
      </c>
    </row>
    <row r="210" spans="1:2" x14ac:dyDescent="0.3">
      <c r="A210" t="s">
        <v>284</v>
      </c>
      <c r="B210" t="s">
        <v>3</v>
      </c>
    </row>
    <row r="211" spans="1:2" x14ac:dyDescent="0.3">
      <c r="A211" t="s">
        <v>3</v>
      </c>
      <c r="B211" t="s">
        <v>285</v>
      </c>
    </row>
    <row r="212" spans="1:2" x14ac:dyDescent="0.3">
      <c r="A212" t="s">
        <v>3</v>
      </c>
      <c r="B212" t="s">
        <v>286</v>
      </c>
    </row>
    <row r="213" spans="1:2" x14ac:dyDescent="0.3">
      <c r="A213" t="s">
        <v>3</v>
      </c>
      <c r="B213" t="s">
        <v>287</v>
      </c>
    </row>
    <row r="214" spans="1:2" x14ac:dyDescent="0.3">
      <c r="A214" t="s">
        <v>3</v>
      </c>
      <c r="B214" t="s">
        <v>288</v>
      </c>
    </row>
    <row r="215" spans="1:2" x14ac:dyDescent="0.3">
      <c r="A215" t="s">
        <v>3</v>
      </c>
      <c r="B215" t="s">
        <v>289</v>
      </c>
    </row>
    <row r="216" spans="1:2" x14ac:dyDescent="0.3">
      <c r="A216" t="s">
        <v>3</v>
      </c>
      <c r="B216" t="s">
        <v>290</v>
      </c>
    </row>
    <row r="217" spans="1:2" x14ac:dyDescent="0.3">
      <c r="A217" t="s">
        <v>3</v>
      </c>
      <c r="B217" t="s">
        <v>291</v>
      </c>
    </row>
    <row r="218" spans="1:2" x14ac:dyDescent="0.3">
      <c r="A218" t="s">
        <v>292</v>
      </c>
      <c r="B218" t="s">
        <v>3</v>
      </c>
    </row>
    <row r="219" spans="1:2" x14ac:dyDescent="0.3">
      <c r="A219" t="s">
        <v>3</v>
      </c>
      <c r="B219" t="s">
        <v>293</v>
      </c>
    </row>
    <row r="220" spans="1:2" x14ac:dyDescent="0.3">
      <c r="A220" t="s">
        <v>3</v>
      </c>
      <c r="B220" t="s">
        <v>286</v>
      </c>
    </row>
    <row r="221" spans="1:2" x14ac:dyDescent="0.3">
      <c r="A221" t="s">
        <v>3</v>
      </c>
      <c r="B221" t="s">
        <v>287</v>
      </c>
    </row>
    <row r="222" spans="1:2" x14ac:dyDescent="0.3">
      <c r="A222" t="s">
        <v>3</v>
      </c>
      <c r="B222" t="s">
        <v>288</v>
      </c>
    </row>
    <row r="223" spans="1:2" x14ac:dyDescent="0.3">
      <c r="A223" t="s">
        <v>3</v>
      </c>
      <c r="B223" t="s">
        <v>289</v>
      </c>
    </row>
    <row r="224" spans="1:2" x14ac:dyDescent="0.3">
      <c r="A224" t="s">
        <v>3</v>
      </c>
      <c r="B224" t="s">
        <v>290</v>
      </c>
    </row>
    <row r="225" spans="1:6" x14ac:dyDescent="0.3">
      <c r="A225" t="s">
        <v>3</v>
      </c>
      <c r="B225" t="s">
        <v>291</v>
      </c>
    </row>
    <row r="226" spans="1:6" x14ac:dyDescent="0.3">
      <c r="A226" t="s">
        <v>3</v>
      </c>
      <c r="B226" t="s">
        <v>294</v>
      </c>
    </row>
    <row r="227" spans="1:6" x14ac:dyDescent="0.3">
      <c r="A227" t="s">
        <v>3</v>
      </c>
      <c r="B227" t="s">
        <v>295</v>
      </c>
    </row>
    <row r="228" spans="1:6" x14ac:dyDescent="0.3">
      <c r="A228" t="s">
        <v>296</v>
      </c>
      <c r="B228" t="s">
        <v>3</v>
      </c>
    </row>
    <row r="229" spans="1:6" x14ac:dyDescent="0.3">
      <c r="A229" t="s">
        <v>297</v>
      </c>
      <c r="B229" t="s">
        <v>3</v>
      </c>
    </row>
    <row r="230" spans="1:6" x14ac:dyDescent="0.3">
      <c r="A230" t="s">
        <v>3</v>
      </c>
      <c r="B230" t="s">
        <v>298</v>
      </c>
    </row>
    <row r="231" spans="1:6" x14ac:dyDescent="0.3">
      <c r="A231" t="s">
        <v>3</v>
      </c>
      <c r="B231" t="s">
        <v>299</v>
      </c>
    </row>
    <row r="232" spans="1:6" x14ac:dyDescent="0.3">
      <c r="A232" t="s">
        <v>3</v>
      </c>
      <c r="B232" t="s">
        <v>300</v>
      </c>
    </row>
    <row r="233" spans="1:6" x14ac:dyDescent="0.3">
      <c r="A233" t="s">
        <v>3</v>
      </c>
      <c r="B233" t="s">
        <v>301</v>
      </c>
    </row>
    <row r="234" spans="1:6" x14ac:dyDescent="0.3">
      <c r="A234" t="s">
        <v>302</v>
      </c>
      <c r="B234" t="s">
        <v>3</v>
      </c>
    </row>
    <row r="235" spans="1:6" x14ac:dyDescent="0.3">
      <c r="A235" t="s">
        <v>3</v>
      </c>
      <c r="B235" t="s">
        <v>3</v>
      </c>
    </row>
    <row r="236" spans="1:6" x14ac:dyDescent="0.3">
      <c r="A236" t="s">
        <v>303</v>
      </c>
      <c r="B236" t="s">
        <v>3</v>
      </c>
    </row>
    <row r="237" spans="1:6" x14ac:dyDescent="0.3">
      <c r="A237" t="s">
        <v>304</v>
      </c>
      <c r="B237" t="s">
        <v>3</v>
      </c>
    </row>
    <row r="238" spans="1:6" x14ac:dyDescent="0.3">
      <c r="A238" t="s">
        <v>3</v>
      </c>
      <c r="B238" t="s">
        <v>305</v>
      </c>
      <c r="C238">
        <v>12</v>
      </c>
      <c r="D238">
        <v>2</v>
      </c>
      <c r="E238">
        <v>10</v>
      </c>
      <c r="F238">
        <v>0</v>
      </c>
    </row>
    <row r="239" spans="1:6" x14ac:dyDescent="0.3">
      <c r="A239" t="s">
        <v>3</v>
      </c>
      <c r="B239" t="s">
        <v>306</v>
      </c>
      <c r="C239">
        <v>12</v>
      </c>
      <c r="D239">
        <v>2</v>
      </c>
      <c r="E239">
        <v>10</v>
      </c>
      <c r="F239">
        <v>0</v>
      </c>
    </row>
    <row r="240" spans="1:6" x14ac:dyDescent="0.3">
      <c r="A240" t="s">
        <v>3</v>
      </c>
      <c r="B240" t="s">
        <v>307</v>
      </c>
      <c r="C240">
        <v>12</v>
      </c>
      <c r="D240">
        <v>2</v>
      </c>
      <c r="E240">
        <v>10</v>
      </c>
      <c r="F240">
        <v>0</v>
      </c>
    </row>
    <row r="241" spans="1:6" x14ac:dyDescent="0.3">
      <c r="A241" t="s">
        <v>308</v>
      </c>
      <c r="C241">
        <v>12</v>
      </c>
      <c r="D241">
        <v>2</v>
      </c>
      <c r="E241">
        <v>10</v>
      </c>
      <c r="F241">
        <v>0</v>
      </c>
    </row>
    <row r="242" spans="1:6" x14ac:dyDescent="0.3">
      <c r="A242" t="s">
        <v>309</v>
      </c>
      <c r="B242" t="s">
        <v>3</v>
      </c>
    </row>
    <row r="243" spans="1:6" x14ac:dyDescent="0.3">
      <c r="A243" t="s">
        <v>3</v>
      </c>
      <c r="B243" t="s">
        <v>310</v>
      </c>
      <c r="C243">
        <v>20</v>
      </c>
      <c r="D243">
        <v>0</v>
      </c>
      <c r="E243">
        <v>1</v>
      </c>
      <c r="F243">
        <v>0</v>
      </c>
    </row>
    <row r="244" spans="1:6" x14ac:dyDescent="0.3">
      <c r="A244" t="s">
        <v>3</v>
      </c>
      <c r="B244" t="s">
        <v>311</v>
      </c>
      <c r="C244">
        <v>20</v>
      </c>
      <c r="D244">
        <v>0</v>
      </c>
      <c r="E244">
        <v>1</v>
      </c>
      <c r="F244">
        <v>0</v>
      </c>
    </row>
    <row r="245" spans="1:6" x14ac:dyDescent="0.3">
      <c r="A245" t="s">
        <v>3</v>
      </c>
      <c r="B245" t="s">
        <v>312</v>
      </c>
      <c r="C245">
        <v>20</v>
      </c>
      <c r="D245">
        <v>0</v>
      </c>
      <c r="E245">
        <v>1</v>
      </c>
      <c r="F245">
        <v>0</v>
      </c>
    </row>
    <row r="246" spans="1:6" x14ac:dyDescent="0.3">
      <c r="A246" t="s">
        <v>313</v>
      </c>
      <c r="B246" t="s">
        <v>3</v>
      </c>
    </row>
    <row r="247" spans="1:6" x14ac:dyDescent="0.3">
      <c r="A247" t="s">
        <v>3</v>
      </c>
      <c r="B247" t="s">
        <v>314</v>
      </c>
      <c r="C247">
        <v>20</v>
      </c>
      <c r="D247">
        <v>0</v>
      </c>
      <c r="E247">
        <v>1</v>
      </c>
      <c r="F247">
        <v>0</v>
      </c>
    </row>
    <row r="248" spans="1:6" x14ac:dyDescent="0.3">
      <c r="B248" t="s">
        <v>315</v>
      </c>
      <c r="C248">
        <v>20</v>
      </c>
      <c r="D248">
        <v>0</v>
      </c>
      <c r="E248">
        <v>1</v>
      </c>
      <c r="F248">
        <v>0</v>
      </c>
    </row>
    <row r="249" spans="1:6" x14ac:dyDescent="0.3">
      <c r="A249" t="s">
        <v>316</v>
      </c>
      <c r="B249" t="s">
        <v>3</v>
      </c>
      <c r="C249" t="s">
        <v>3</v>
      </c>
      <c r="D249" t="s">
        <v>3</v>
      </c>
      <c r="E249" t="s">
        <v>3</v>
      </c>
      <c r="F249" t="s">
        <v>3</v>
      </c>
    </row>
    <row r="250" spans="1:6" x14ac:dyDescent="0.3">
      <c r="A250" t="s">
        <v>317</v>
      </c>
      <c r="B250" t="s">
        <v>3</v>
      </c>
    </row>
    <row r="251" spans="1:6" x14ac:dyDescent="0.3">
      <c r="A251" t="s">
        <v>318</v>
      </c>
      <c r="B251" t="s">
        <v>3</v>
      </c>
    </row>
    <row r="252" spans="1:6" x14ac:dyDescent="0.3">
      <c r="A252" t="s">
        <v>3</v>
      </c>
      <c r="B252" t="s">
        <v>319</v>
      </c>
      <c r="C252">
        <v>40</v>
      </c>
      <c r="D252">
        <v>1</v>
      </c>
      <c r="E252">
        <v>0</v>
      </c>
      <c r="F252">
        <v>0</v>
      </c>
    </row>
    <row r="253" spans="1:6" x14ac:dyDescent="0.3">
      <c r="A253" t="s">
        <v>3</v>
      </c>
      <c r="B253" t="s">
        <v>320</v>
      </c>
      <c r="C253">
        <v>20</v>
      </c>
      <c r="D253">
        <v>1</v>
      </c>
      <c r="E253">
        <v>0</v>
      </c>
      <c r="F253">
        <v>0</v>
      </c>
    </row>
    <row r="254" spans="1:6" x14ac:dyDescent="0.3">
      <c r="A254" t="s">
        <v>3</v>
      </c>
      <c r="B254" t="s">
        <v>321</v>
      </c>
      <c r="C254">
        <v>10</v>
      </c>
      <c r="D254">
        <v>2</v>
      </c>
      <c r="E254">
        <v>0</v>
      </c>
      <c r="F254">
        <v>0</v>
      </c>
    </row>
    <row r="255" spans="1:6" x14ac:dyDescent="0.3">
      <c r="A255" t="s">
        <v>3</v>
      </c>
      <c r="B255" t="s">
        <v>322</v>
      </c>
      <c r="C255">
        <v>20</v>
      </c>
      <c r="D255">
        <v>1.5</v>
      </c>
      <c r="E255">
        <v>0</v>
      </c>
      <c r="F255">
        <v>0</v>
      </c>
    </row>
    <row r="256" spans="1:6" x14ac:dyDescent="0.3">
      <c r="A256" t="s">
        <v>3</v>
      </c>
      <c r="B256" t="s">
        <v>323</v>
      </c>
      <c r="C256">
        <v>15</v>
      </c>
      <c r="D256">
        <v>1.5</v>
      </c>
      <c r="E256">
        <v>1</v>
      </c>
      <c r="F256">
        <v>0</v>
      </c>
    </row>
    <row r="257" spans="1:6" x14ac:dyDescent="0.3">
      <c r="A257" t="s">
        <v>324</v>
      </c>
    </row>
    <row r="258" spans="1:6" x14ac:dyDescent="0.3">
      <c r="A258" t="s">
        <v>325</v>
      </c>
    </row>
    <row r="259" spans="1:6" x14ac:dyDescent="0.3">
      <c r="A259" t="s">
        <v>326</v>
      </c>
    </row>
    <row r="260" spans="1:6" x14ac:dyDescent="0.3">
      <c r="A260" t="s">
        <v>327</v>
      </c>
    </row>
    <row r="261" spans="1:6" x14ac:dyDescent="0.3">
      <c r="B261" t="s">
        <v>328</v>
      </c>
      <c r="C261">
        <v>15</v>
      </c>
      <c r="D261">
        <v>2</v>
      </c>
      <c r="E261">
        <v>1</v>
      </c>
      <c r="F261">
        <v>1</v>
      </c>
    </row>
    <row r="262" spans="1:6" x14ac:dyDescent="0.3">
      <c r="B262" t="s">
        <v>329</v>
      </c>
      <c r="C262">
        <v>15</v>
      </c>
      <c r="D262">
        <v>1.5</v>
      </c>
      <c r="E262">
        <v>1</v>
      </c>
      <c r="F262">
        <v>0</v>
      </c>
    </row>
    <row r="263" spans="1:6" x14ac:dyDescent="0.3">
      <c r="B263" t="s">
        <v>330</v>
      </c>
      <c r="C263">
        <v>15</v>
      </c>
      <c r="D263">
        <v>1</v>
      </c>
      <c r="E263">
        <v>1</v>
      </c>
      <c r="F263">
        <v>0</v>
      </c>
    </row>
    <row r="264" spans="1:6" x14ac:dyDescent="0.3">
      <c r="B264" t="s">
        <v>331</v>
      </c>
      <c r="C264">
        <v>20</v>
      </c>
      <c r="D264">
        <v>2</v>
      </c>
      <c r="E264">
        <v>1</v>
      </c>
      <c r="F264">
        <v>0</v>
      </c>
    </row>
    <row r="265" spans="1:6" x14ac:dyDescent="0.3">
      <c r="A265" t="s">
        <v>332</v>
      </c>
      <c r="B265" t="s">
        <v>3</v>
      </c>
    </row>
    <row r="266" spans="1:6" x14ac:dyDescent="0.3">
      <c r="A266" t="s">
        <v>333</v>
      </c>
      <c r="B266" t="s">
        <v>3</v>
      </c>
    </row>
    <row r="267" spans="1:6" x14ac:dyDescent="0.3">
      <c r="A267" t="s">
        <v>334</v>
      </c>
      <c r="B267" t="s">
        <v>3</v>
      </c>
    </row>
    <row r="268" spans="1:6" x14ac:dyDescent="0.3">
      <c r="A268" t="s">
        <v>3</v>
      </c>
      <c r="B268" t="s">
        <v>335</v>
      </c>
      <c r="C268">
        <v>15</v>
      </c>
      <c r="D268">
        <v>1</v>
      </c>
      <c r="E268">
        <v>1</v>
      </c>
      <c r="F268">
        <v>0</v>
      </c>
    </row>
    <row r="269" spans="1:6" x14ac:dyDescent="0.3">
      <c r="A269" t="s">
        <v>3</v>
      </c>
      <c r="B269" t="s">
        <v>336</v>
      </c>
      <c r="C269">
        <v>10</v>
      </c>
      <c r="D269">
        <v>1</v>
      </c>
      <c r="E269">
        <v>0</v>
      </c>
      <c r="F269">
        <v>0</v>
      </c>
    </row>
    <row r="270" spans="1:6" x14ac:dyDescent="0.3">
      <c r="A270" t="s">
        <v>3</v>
      </c>
      <c r="B270" t="s">
        <v>337</v>
      </c>
      <c r="C270">
        <v>15</v>
      </c>
      <c r="D270">
        <v>1</v>
      </c>
      <c r="E270">
        <v>1</v>
      </c>
      <c r="F270">
        <v>0</v>
      </c>
    </row>
    <row r="271" spans="1:6" x14ac:dyDescent="0.3">
      <c r="A271" t="s">
        <v>338</v>
      </c>
      <c r="B271" t="s">
        <v>3</v>
      </c>
    </row>
    <row r="272" spans="1:6" x14ac:dyDescent="0.3">
      <c r="A272" t="s">
        <v>3</v>
      </c>
      <c r="B272" t="s">
        <v>339</v>
      </c>
      <c r="C272">
        <v>40</v>
      </c>
      <c r="D272">
        <v>1</v>
      </c>
      <c r="E272">
        <v>0</v>
      </c>
      <c r="F272">
        <v>0</v>
      </c>
    </row>
    <row r="273" spans="1:6" x14ac:dyDescent="0.3">
      <c r="A273" t="s">
        <v>3</v>
      </c>
      <c r="B273" t="s">
        <v>340</v>
      </c>
      <c r="C273">
        <v>25</v>
      </c>
      <c r="D273">
        <v>2</v>
      </c>
      <c r="E273">
        <v>0</v>
      </c>
      <c r="F273">
        <v>0</v>
      </c>
    </row>
    <row r="274" spans="1:6" x14ac:dyDescent="0.3">
      <c r="A274" t="s">
        <v>3</v>
      </c>
      <c r="B274" t="s">
        <v>341</v>
      </c>
    </row>
    <row r="275" spans="1:6" x14ac:dyDescent="0.3">
      <c r="A275" t="s">
        <v>3</v>
      </c>
      <c r="B275" t="s">
        <v>3</v>
      </c>
    </row>
    <row r="276" spans="1:6" x14ac:dyDescent="0.3">
      <c r="A276" t="s">
        <v>3</v>
      </c>
      <c r="B276" t="s">
        <v>342</v>
      </c>
      <c r="C276">
        <v>15</v>
      </c>
      <c r="D276">
        <v>3</v>
      </c>
      <c r="E276">
        <v>0</v>
      </c>
      <c r="F276">
        <v>0</v>
      </c>
    </row>
    <row r="277" spans="1:6" x14ac:dyDescent="0.3">
      <c r="A277" t="s">
        <v>3</v>
      </c>
      <c r="B277" t="s">
        <v>3</v>
      </c>
    </row>
    <row r="278" spans="1:6" x14ac:dyDescent="0.3">
      <c r="A278" t="s">
        <v>343</v>
      </c>
      <c r="B278" t="s">
        <v>3</v>
      </c>
      <c r="C278">
        <v>20</v>
      </c>
      <c r="D278">
        <v>1</v>
      </c>
      <c r="E278">
        <v>0</v>
      </c>
      <c r="F278">
        <v>0</v>
      </c>
    </row>
    <row r="279" spans="1:6" x14ac:dyDescent="0.3">
      <c r="A279" t="s">
        <v>344</v>
      </c>
      <c r="B279" t="s">
        <v>3</v>
      </c>
      <c r="C279">
        <v>20</v>
      </c>
      <c r="D279">
        <v>1.5</v>
      </c>
      <c r="E279">
        <v>1</v>
      </c>
      <c r="F279">
        <v>0</v>
      </c>
    </row>
    <row r="280" spans="1:6" x14ac:dyDescent="0.3">
      <c r="A280" t="s">
        <v>345</v>
      </c>
      <c r="B280" t="s">
        <v>3</v>
      </c>
      <c r="C280">
        <v>10</v>
      </c>
      <c r="D280">
        <v>2</v>
      </c>
      <c r="E280">
        <v>0</v>
      </c>
      <c r="F280">
        <v>0</v>
      </c>
    </row>
    <row r="281" spans="1:6" x14ac:dyDescent="0.3">
      <c r="A281" t="s">
        <v>346</v>
      </c>
      <c r="B281" t="s">
        <v>3</v>
      </c>
    </row>
    <row r="282" spans="1:6" x14ac:dyDescent="0.3">
      <c r="A282" t="s">
        <v>3</v>
      </c>
      <c r="B282" t="s">
        <v>347</v>
      </c>
      <c r="C282">
        <v>15</v>
      </c>
      <c r="D282">
        <v>1</v>
      </c>
      <c r="E282">
        <v>0</v>
      </c>
      <c r="F282">
        <v>0</v>
      </c>
    </row>
    <row r="283" spans="1:6" x14ac:dyDescent="0.3">
      <c r="A283" t="s">
        <v>3</v>
      </c>
      <c r="B283" t="s">
        <v>348</v>
      </c>
      <c r="C283">
        <v>15</v>
      </c>
      <c r="D283">
        <v>1</v>
      </c>
      <c r="E283">
        <v>0.5</v>
      </c>
      <c r="F283">
        <v>0</v>
      </c>
    </row>
    <row r="284" spans="1:6" x14ac:dyDescent="0.3">
      <c r="A284" t="s">
        <v>3</v>
      </c>
      <c r="B284" t="s">
        <v>349</v>
      </c>
      <c r="C284">
        <v>15</v>
      </c>
      <c r="D284">
        <v>1</v>
      </c>
      <c r="E284">
        <v>0</v>
      </c>
      <c r="F284">
        <v>0</v>
      </c>
    </row>
    <row r="285" spans="1:6" x14ac:dyDescent="0.3">
      <c r="A285" t="s">
        <v>3</v>
      </c>
      <c r="B285" t="s">
        <v>350</v>
      </c>
      <c r="C285">
        <v>15</v>
      </c>
      <c r="D285">
        <v>1</v>
      </c>
      <c r="E285">
        <v>0.5</v>
      </c>
      <c r="F285">
        <v>0</v>
      </c>
    </row>
    <row r="286" spans="1:6" x14ac:dyDescent="0.3">
      <c r="A286" t="s">
        <v>3</v>
      </c>
      <c r="B286" t="s">
        <v>351</v>
      </c>
      <c r="C286">
        <v>20</v>
      </c>
      <c r="D286">
        <v>2.5</v>
      </c>
      <c r="E286">
        <v>0.5</v>
      </c>
      <c r="F286">
        <v>0</v>
      </c>
    </row>
    <row r="287" spans="1:6" x14ac:dyDescent="0.3">
      <c r="A287" t="s">
        <v>3</v>
      </c>
      <c r="B287" t="s">
        <v>352</v>
      </c>
      <c r="C287">
        <v>15</v>
      </c>
      <c r="D287">
        <v>2</v>
      </c>
      <c r="E287">
        <v>0.5</v>
      </c>
      <c r="F287">
        <v>0</v>
      </c>
    </row>
    <row r="288" spans="1:6" x14ac:dyDescent="0.3">
      <c r="A288" t="s">
        <v>3</v>
      </c>
      <c r="B288" t="s">
        <v>353</v>
      </c>
      <c r="C288">
        <v>15</v>
      </c>
      <c r="D288">
        <v>4</v>
      </c>
      <c r="E288">
        <v>0.5</v>
      </c>
      <c r="F288">
        <v>0</v>
      </c>
    </row>
    <row r="289" spans="1:6" x14ac:dyDescent="0.3">
      <c r="A289" t="s">
        <v>3</v>
      </c>
      <c r="B289" t="s">
        <v>354</v>
      </c>
      <c r="C289">
        <v>12</v>
      </c>
      <c r="D289">
        <v>2</v>
      </c>
      <c r="E289">
        <v>0.5</v>
      </c>
      <c r="F289">
        <v>0</v>
      </c>
    </row>
    <row r="290" spans="1:6" x14ac:dyDescent="0.3">
      <c r="A290" t="s">
        <v>355</v>
      </c>
      <c r="B290" t="s">
        <v>3</v>
      </c>
    </row>
    <row r="291" spans="1:6" x14ac:dyDescent="0.3">
      <c r="A291" t="s">
        <v>356</v>
      </c>
      <c r="B291" t="s">
        <v>3</v>
      </c>
    </row>
    <row r="292" spans="1:6" x14ac:dyDescent="0.3">
      <c r="A292" t="s">
        <v>357</v>
      </c>
      <c r="B292" t="s">
        <v>3</v>
      </c>
    </row>
    <row r="293" spans="1:6" x14ac:dyDescent="0.3">
      <c r="A293" t="s">
        <v>358</v>
      </c>
      <c r="B293" t="s">
        <v>3</v>
      </c>
    </row>
    <row r="294" spans="1:6" x14ac:dyDescent="0.3">
      <c r="A294" t="s">
        <v>359</v>
      </c>
      <c r="B294" t="s">
        <v>3</v>
      </c>
    </row>
    <row r="295" spans="1:6" x14ac:dyDescent="0.3">
      <c r="A295" t="s">
        <v>3</v>
      </c>
      <c r="B295" t="s">
        <v>360</v>
      </c>
      <c r="C295">
        <v>25</v>
      </c>
      <c r="D295">
        <v>1</v>
      </c>
      <c r="E295">
        <v>0.3</v>
      </c>
      <c r="F295">
        <v>0</v>
      </c>
    </row>
    <row r="296" spans="1:6" x14ac:dyDescent="0.3">
      <c r="A296" t="s">
        <v>3</v>
      </c>
      <c r="B296" t="s">
        <v>361</v>
      </c>
      <c r="C296">
        <v>15</v>
      </c>
      <c r="D296">
        <v>1</v>
      </c>
      <c r="E296">
        <v>0</v>
      </c>
      <c r="F296">
        <v>0</v>
      </c>
    </row>
    <row r="297" spans="1:6" x14ac:dyDescent="0.3">
      <c r="A297" t="s">
        <v>362</v>
      </c>
      <c r="B297" t="s">
        <v>3</v>
      </c>
      <c r="C297">
        <v>15</v>
      </c>
      <c r="D297">
        <v>1</v>
      </c>
      <c r="E297">
        <v>1</v>
      </c>
      <c r="F297">
        <v>1</v>
      </c>
    </row>
  </sheetData>
  <customSheetViews>
    <customSheetView guid="{A466747D-BC11-4359-8DB2-79FDF5927363}">
      <selection activeCell="A3" sqref="A3"/>
      <pageMargins left="0.7" right="0.7" top="0.75" bottom="0.75" header="0.3" footer="0.3"/>
    </customSheetView>
    <customSheetView guid="{076EF5BB-A6AA-4ACD-9CF4-82C37E85D83C}">
      <selection activeCell="A3" sqref="A3"/>
      <pageMargins left="0.7" right="0.7" top="0.75" bottom="0.75" header="0.3" footer="0.3"/>
    </customSheetView>
    <customSheetView guid="{6774CEDA-A5AA-4ECD-96FF-5AD648D47675}">
      <selection activeCell="A3" sqref="A3"/>
      <pageMargins left="0.7" right="0.7" top="0.75" bottom="0.75" header="0.3" footer="0.3"/>
    </customSheetView>
    <customSheetView guid="{519414D7-B194-4B83-AA2D-520F5FD85EC7}">
      <selection activeCell="A3" sqref="A3"/>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customSheetViews>
    <customSheetView guid="{A466747D-BC11-4359-8DB2-79FDF5927363}">
      <pageMargins left="0.7" right="0.7" top="0.75" bottom="0.75" header="0.3" footer="0.3"/>
    </customSheetView>
    <customSheetView guid="{076EF5BB-A6AA-4ACD-9CF4-82C37E85D83C}">
      <pageMargins left="0.7" right="0.7" top="0.75" bottom="0.75" header="0.3" footer="0.3"/>
    </customSheetView>
    <customSheetView guid="{519414D7-B194-4B83-AA2D-520F5FD85EC7}">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Y50"/>
  <sheetViews>
    <sheetView zoomScale="82" zoomScaleNormal="82" workbookViewId="0">
      <selection activeCell="B20" sqref="B20"/>
    </sheetView>
  </sheetViews>
  <sheetFormatPr baseColWidth="10" defaultColWidth="11.44140625" defaultRowHeight="14.4" x14ac:dyDescent="0.3"/>
  <cols>
    <col min="2" max="2" width="57.6640625" customWidth="1"/>
    <col min="3" max="3" width="11.44140625" style="2"/>
    <col min="9" max="9" width="6.33203125" customWidth="1"/>
    <col min="12" max="12" width="24" customWidth="1"/>
  </cols>
  <sheetData>
    <row r="4" spans="1:13" x14ac:dyDescent="0.3">
      <c r="B4">
        <v>3</v>
      </c>
    </row>
    <row r="5" spans="1:13" ht="15.6" x14ac:dyDescent="0.3">
      <c r="B5" s="189" t="s">
        <v>435</v>
      </c>
      <c r="C5" s="168">
        <v>20</v>
      </c>
      <c r="E5" s="171"/>
    </row>
    <row r="6" spans="1:13" ht="15.6" x14ac:dyDescent="0.3">
      <c r="B6" s="189" t="s">
        <v>436</v>
      </c>
      <c r="C6" s="168">
        <v>30</v>
      </c>
      <c r="E6" s="171"/>
    </row>
    <row r="7" spans="1:13" ht="16.2" thickBot="1" x14ac:dyDescent="0.35">
      <c r="B7" s="189" t="s">
        <v>437</v>
      </c>
      <c r="C7" s="169">
        <v>50</v>
      </c>
      <c r="E7" s="172"/>
    </row>
    <row r="8" spans="1:13" ht="24" thickBot="1" x14ac:dyDescent="0.5">
      <c r="B8" s="128" t="s">
        <v>84</v>
      </c>
      <c r="C8" s="170">
        <f>INDEX(C5:C7,$B$4)</f>
        <v>50</v>
      </c>
      <c r="D8" s="128"/>
      <c r="E8" s="173"/>
    </row>
    <row r="9" spans="1:13" x14ac:dyDescent="0.3">
      <c r="A9">
        <v>1</v>
      </c>
    </row>
    <row r="10" spans="1:13" ht="23.4" x14ac:dyDescent="0.45">
      <c r="B10" s="128" t="s">
        <v>461</v>
      </c>
      <c r="C10" s="129">
        <v>1.15E-2</v>
      </c>
      <c r="E10" s="131" t="s">
        <v>408</v>
      </c>
      <c r="F10" s="131"/>
      <c r="G10" s="131"/>
      <c r="H10" s="131"/>
      <c r="I10" s="131"/>
      <c r="J10" s="131"/>
      <c r="K10" s="131"/>
    </row>
    <row r="11" spans="1:13" ht="23.4" x14ac:dyDescent="0.45">
      <c r="B11" s="128"/>
      <c r="C11" s="129"/>
    </row>
    <row r="12" spans="1:13" ht="23.4" x14ac:dyDescent="0.45">
      <c r="B12" s="128" t="s">
        <v>12</v>
      </c>
      <c r="C12" s="129">
        <v>2.5000000000000001E-2</v>
      </c>
    </row>
    <row r="13" spans="1:13" ht="23.4" x14ac:dyDescent="0.45">
      <c r="B13" s="128"/>
      <c r="C13" s="129" t="s">
        <v>3</v>
      </c>
    </row>
    <row r="14" spans="1:13" ht="23.4" x14ac:dyDescent="0.45">
      <c r="B14" s="128" t="s">
        <v>13</v>
      </c>
      <c r="C14" s="129">
        <v>0.03</v>
      </c>
    </row>
    <row r="15" spans="1:13" ht="23.4" x14ac:dyDescent="0.45">
      <c r="B15" s="128"/>
      <c r="C15" s="129"/>
    </row>
    <row r="16" spans="1:13" ht="23.4" x14ac:dyDescent="0.45">
      <c r="B16" s="128" t="s">
        <v>9</v>
      </c>
      <c r="C16" s="129">
        <v>0.04</v>
      </c>
    </row>
    <row r="17" spans="1:51" ht="23.4" x14ac:dyDescent="0.45">
      <c r="B17" s="128"/>
      <c r="C17" s="129"/>
    </row>
    <row r="18" spans="1:51" ht="23.4" x14ac:dyDescent="0.45">
      <c r="B18" s="128" t="s">
        <v>14</v>
      </c>
      <c r="C18" s="129">
        <v>0.03</v>
      </c>
    </row>
    <row r="19" spans="1:51" ht="23.4" x14ac:dyDescent="0.45">
      <c r="A19">
        <v>2</v>
      </c>
      <c r="B19" s="128"/>
      <c r="C19" s="129"/>
    </row>
    <row r="20" spans="1:51" ht="23.4" x14ac:dyDescent="0.45">
      <c r="B20" s="128" t="s">
        <v>10</v>
      </c>
      <c r="C20" s="129">
        <v>0.06</v>
      </c>
    </row>
    <row r="21" spans="1:51" ht="23.4" x14ac:dyDescent="0.45">
      <c r="B21" s="128"/>
      <c r="C21" s="129"/>
    </row>
    <row r="22" spans="1:51" ht="23.4" x14ac:dyDescent="0.45">
      <c r="B22" s="128" t="s">
        <v>11</v>
      </c>
      <c r="C22" s="129">
        <v>0.02</v>
      </c>
    </row>
    <row r="23" spans="1:51" ht="23.4" x14ac:dyDescent="0.45">
      <c r="B23" s="128"/>
      <c r="C23" s="129"/>
    </row>
    <row r="24" spans="1:51" ht="23.4" x14ac:dyDescent="0.45">
      <c r="B24" s="128" t="s">
        <v>15</v>
      </c>
      <c r="C24" s="129">
        <v>0.04</v>
      </c>
    </row>
    <row r="26" spans="1:51" ht="18" thickBot="1" x14ac:dyDescent="0.35">
      <c r="A26" s="5"/>
      <c r="B26" s="5"/>
      <c r="C26" s="5"/>
      <c r="D26" s="5"/>
      <c r="E26" s="5"/>
      <c r="F26" s="5"/>
      <c r="G26" s="5"/>
      <c r="H26" s="5"/>
      <c r="I26" s="5"/>
      <c r="J26" s="5"/>
      <c r="K26" s="5"/>
      <c r="L26" s="5"/>
      <c r="M26" s="5"/>
      <c r="N26" s="5"/>
      <c r="O26" s="5"/>
      <c r="P26" s="5"/>
      <c r="Q26" s="6"/>
      <c r="R26" s="5"/>
      <c r="S26" s="6"/>
      <c r="T26" s="5"/>
      <c r="U26" s="6"/>
      <c r="V26" s="5"/>
      <c r="W26" s="6"/>
      <c r="X26" s="5"/>
      <c r="Y26" s="6"/>
      <c r="Z26" s="5"/>
      <c r="AA26" s="6"/>
      <c r="AB26" s="5"/>
      <c r="AC26" s="5"/>
      <c r="AD26" s="5"/>
      <c r="AE26" s="5"/>
      <c r="AF26" s="5"/>
      <c r="AG26" s="5"/>
      <c r="AH26" s="5"/>
      <c r="AI26" s="5"/>
      <c r="AJ26" s="5"/>
      <c r="AK26" s="5"/>
      <c r="AL26" s="5"/>
      <c r="AM26" s="5"/>
      <c r="AN26" s="5"/>
      <c r="AO26" s="5"/>
      <c r="AQ26" s="5"/>
      <c r="AS26" s="5"/>
      <c r="AT26" s="5"/>
      <c r="AU26" s="5"/>
      <c r="AV26" s="5"/>
      <c r="AW26" s="5"/>
      <c r="AX26" s="5"/>
      <c r="AY26" s="5"/>
    </row>
    <row r="27" spans="1:51" ht="36" thickBot="1" x14ac:dyDescent="0.35">
      <c r="A27" s="279" t="s">
        <v>16</v>
      </c>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1"/>
      <c r="AT27" s="7"/>
      <c r="AU27" s="7"/>
      <c r="AV27" s="7"/>
      <c r="AW27" s="7"/>
      <c r="AX27" s="7"/>
      <c r="AY27" s="7"/>
    </row>
    <row r="28" spans="1:51" ht="18" thickBot="1" x14ac:dyDescent="0.35">
      <c r="A28" s="5"/>
      <c r="B28" s="5"/>
      <c r="C28" s="5"/>
      <c r="D28" s="5"/>
      <c r="E28" s="5"/>
      <c r="F28" s="5"/>
      <c r="G28" s="5"/>
      <c r="H28" s="5"/>
      <c r="I28" s="5"/>
      <c r="J28" s="5"/>
      <c r="K28" s="5"/>
      <c r="L28" s="5"/>
      <c r="M28" s="5"/>
      <c r="N28" s="5"/>
      <c r="O28" s="5"/>
      <c r="P28" s="5"/>
      <c r="Q28" s="6"/>
      <c r="R28" s="5"/>
      <c r="S28" s="6"/>
      <c r="T28" s="5"/>
      <c r="U28" s="6"/>
      <c r="V28" s="5"/>
      <c r="W28" s="6"/>
      <c r="X28" s="5"/>
      <c r="Y28" s="6"/>
      <c r="Z28" s="5"/>
      <c r="AA28" s="6"/>
      <c r="AB28" s="5"/>
      <c r="AC28" s="5"/>
      <c r="AD28" s="5"/>
      <c r="AE28" s="5"/>
      <c r="AF28" s="5"/>
      <c r="AG28" s="5"/>
      <c r="AH28" s="5"/>
      <c r="AI28" s="5"/>
      <c r="AJ28" s="5"/>
      <c r="AK28" s="5"/>
      <c r="AL28" s="5"/>
      <c r="AM28" s="5"/>
      <c r="AN28" s="5"/>
      <c r="AO28" s="5"/>
      <c r="AQ28" s="5"/>
      <c r="AS28" s="5"/>
      <c r="AT28" s="5"/>
      <c r="AU28" s="5"/>
      <c r="AV28" s="5"/>
      <c r="AW28" s="5"/>
      <c r="AX28" s="5"/>
      <c r="AY28" s="5"/>
    </row>
    <row r="29" spans="1:51" ht="36" thickBot="1" x14ac:dyDescent="0.6">
      <c r="A29" s="279" t="s">
        <v>17</v>
      </c>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3"/>
      <c r="AN29" s="8"/>
      <c r="AO29" s="8"/>
      <c r="AP29" s="9"/>
      <c r="AQ29" s="284" t="s">
        <v>18</v>
      </c>
      <c r="AR29" s="282"/>
      <c r="AS29" s="283"/>
      <c r="AT29" s="5"/>
      <c r="AU29" s="5"/>
      <c r="AV29" s="5"/>
      <c r="AW29" s="5"/>
      <c r="AX29" s="5"/>
      <c r="AY29" s="5"/>
    </row>
    <row r="30" spans="1:51" ht="17.399999999999999" x14ac:dyDescent="0.3">
      <c r="A30" s="5"/>
      <c r="B30" s="5"/>
      <c r="C30" s="5"/>
      <c r="D30" s="5"/>
      <c r="E30" s="5"/>
      <c r="F30" s="5"/>
      <c r="G30" s="5"/>
      <c r="H30" s="5"/>
      <c r="I30" s="5"/>
      <c r="J30" s="5"/>
      <c r="K30" s="5"/>
      <c r="L30" s="5"/>
      <c r="M30" s="5"/>
      <c r="N30" s="5"/>
      <c r="O30" s="5"/>
      <c r="P30" s="5"/>
      <c r="Q30" s="6"/>
      <c r="R30" s="5"/>
      <c r="S30" s="6"/>
      <c r="T30" s="5"/>
      <c r="U30" s="6"/>
      <c r="V30" s="5"/>
      <c r="W30" s="6"/>
      <c r="X30" s="5"/>
      <c r="Y30" s="6"/>
      <c r="Z30" s="5"/>
      <c r="AA30" s="6"/>
      <c r="AB30" s="5"/>
      <c r="AC30" s="5"/>
      <c r="AD30" s="5"/>
      <c r="AE30" s="5"/>
      <c r="AF30" s="5"/>
      <c r="AG30" s="5"/>
      <c r="AH30" s="5"/>
      <c r="AI30" s="5"/>
      <c r="AJ30" s="5"/>
      <c r="AK30" s="5"/>
      <c r="AL30" s="5"/>
      <c r="AM30" s="5"/>
      <c r="AN30" s="5"/>
      <c r="AO30" s="5"/>
      <c r="AQ30" s="5"/>
      <c r="AS30" s="5"/>
      <c r="AT30" s="5"/>
      <c r="AU30" s="5"/>
      <c r="AV30" s="5"/>
      <c r="AW30" s="5"/>
      <c r="AX30" s="5"/>
      <c r="AY30" s="5"/>
    </row>
    <row r="31" spans="1:51" ht="18" thickBot="1" x14ac:dyDescent="0.35">
      <c r="A31" s="5"/>
      <c r="B31" s="5"/>
      <c r="C31" s="5"/>
      <c r="D31" s="5"/>
      <c r="E31" s="5"/>
      <c r="F31" s="5"/>
      <c r="G31" s="5"/>
      <c r="H31" s="5"/>
      <c r="I31" s="5"/>
      <c r="J31" s="5"/>
      <c r="K31" s="5"/>
      <c r="L31" s="5"/>
      <c r="M31" s="5"/>
      <c r="N31" s="5"/>
      <c r="O31" s="5"/>
      <c r="P31" s="5"/>
      <c r="Q31" s="6"/>
      <c r="R31" s="5"/>
      <c r="S31" s="6"/>
      <c r="T31" s="5"/>
      <c r="U31" s="6"/>
      <c r="V31" s="5"/>
      <c r="W31" s="6"/>
      <c r="X31" s="5"/>
      <c r="Y31" s="6"/>
      <c r="Z31" s="5"/>
      <c r="AA31" s="6"/>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51" ht="32.4" x14ac:dyDescent="0.3">
      <c r="A32" s="10"/>
      <c r="B32" s="285" t="s">
        <v>19</v>
      </c>
      <c r="C32" s="285"/>
      <c r="D32" s="285"/>
      <c r="E32" s="285"/>
      <c r="F32" s="285"/>
      <c r="G32" s="12"/>
      <c r="H32" s="13"/>
      <c r="I32" s="10"/>
      <c r="J32" s="285" t="s">
        <v>20</v>
      </c>
      <c r="K32" s="285"/>
      <c r="L32" s="285"/>
      <c r="M32" s="12"/>
      <c r="N32" s="13"/>
      <c r="O32" s="10"/>
      <c r="P32" s="285" t="s">
        <v>21</v>
      </c>
      <c r="Q32" s="285"/>
      <c r="R32" s="285"/>
      <c r="S32" s="285"/>
      <c r="T32" s="285"/>
      <c r="U32" s="285"/>
      <c r="V32" s="285"/>
      <c r="W32" s="285"/>
      <c r="X32" s="285"/>
      <c r="Y32" s="285"/>
      <c r="Z32" s="285"/>
      <c r="AA32" s="285"/>
      <c r="AB32" s="285"/>
      <c r="AC32" s="12"/>
      <c r="AD32" s="13"/>
      <c r="AE32" s="10"/>
      <c r="AF32" s="285" t="s">
        <v>22</v>
      </c>
      <c r="AG32" s="285"/>
      <c r="AH32" s="285"/>
      <c r="AI32" s="285"/>
      <c r="AJ32" s="285"/>
      <c r="AK32" s="285"/>
      <c r="AL32" s="285"/>
      <c r="AM32" s="12"/>
      <c r="AN32" s="13"/>
      <c r="AO32" s="13"/>
      <c r="AP32" s="13"/>
      <c r="AQ32" s="10"/>
      <c r="AR32" s="11" t="s">
        <v>23</v>
      </c>
      <c r="AS32" s="12"/>
      <c r="AT32" s="14"/>
      <c r="AU32" s="13"/>
      <c r="AV32" s="13"/>
      <c r="AW32" s="13"/>
      <c r="AX32" s="13"/>
      <c r="AY32" s="13"/>
    </row>
    <row r="33" spans="1:51" ht="18" thickBot="1" x14ac:dyDescent="0.35">
      <c r="A33" s="15"/>
      <c r="B33" s="20"/>
      <c r="C33" s="20"/>
      <c r="D33" s="20"/>
      <c r="E33" s="20"/>
      <c r="F33" s="20"/>
      <c r="G33" s="21"/>
      <c r="H33" s="20"/>
      <c r="I33" s="22"/>
      <c r="J33" s="20"/>
      <c r="K33" s="20"/>
      <c r="L33" s="20"/>
      <c r="M33" s="21"/>
      <c r="N33" s="20"/>
      <c r="O33" s="22"/>
      <c r="P33" s="20"/>
      <c r="Q33" s="20"/>
      <c r="R33" s="20"/>
      <c r="S33" s="20"/>
      <c r="T33" s="20"/>
      <c r="U33" s="20"/>
      <c r="V33" s="20"/>
      <c r="W33" s="20"/>
      <c r="X33" s="20"/>
      <c r="Y33" s="20"/>
      <c r="Z33" s="20"/>
      <c r="AA33" s="20"/>
      <c r="AB33" s="20"/>
      <c r="AC33" s="21"/>
      <c r="AD33" s="20"/>
      <c r="AE33" s="22"/>
      <c r="AF33" s="20"/>
      <c r="AG33" s="20"/>
      <c r="AH33" s="20"/>
      <c r="AI33" s="20"/>
      <c r="AJ33" s="20"/>
      <c r="AK33" s="20"/>
      <c r="AL33" s="20"/>
      <c r="AM33" s="21"/>
      <c r="AN33" s="5"/>
      <c r="AO33" s="5"/>
      <c r="AP33" s="20"/>
      <c r="AQ33" s="15"/>
      <c r="AR33" s="6"/>
      <c r="AS33" s="19"/>
      <c r="AT33" s="6"/>
      <c r="AU33" s="5"/>
      <c r="AV33" s="5"/>
      <c r="AW33" s="5"/>
      <c r="AX33" s="5"/>
      <c r="AY33" s="5"/>
    </row>
    <row r="34" spans="1:51" ht="22.8" x14ac:dyDescent="0.4">
      <c r="A34" s="23"/>
      <c r="B34" s="286" t="s">
        <v>24</v>
      </c>
      <c r="C34" s="287"/>
      <c r="D34" s="287"/>
      <c r="E34" s="287"/>
      <c r="F34" s="288"/>
      <c r="G34" s="24"/>
      <c r="H34" s="25"/>
      <c r="I34" s="26"/>
      <c r="J34" s="292" t="s">
        <v>25</v>
      </c>
      <c r="K34" s="293"/>
      <c r="L34" s="294"/>
      <c r="M34" s="27"/>
      <c r="N34" s="28"/>
      <c r="O34" s="26"/>
      <c r="P34" s="298" t="s">
        <v>26</v>
      </c>
      <c r="Q34" s="299"/>
      <c r="R34" s="299"/>
      <c r="S34" s="299"/>
      <c r="T34" s="299"/>
      <c r="U34" s="299"/>
      <c r="V34" s="299"/>
      <c r="W34" s="299"/>
      <c r="X34" s="299"/>
      <c r="Y34" s="299"/>
      <c r="Z34" s="299"/>
      <c r="AA34" s="299"/>
      <c r="AB34" s="300"/>
      <c r="AC34" s="27"/>
      <c r="AD34" s="28"/>
      <c r="AE34" s="29"/>
      <c r="AF34" s="307" t="s">
        <v>27</v>
      </c>
      <c r="AG34" s="308"/>
      <c r="AH34" s="308"/>
      <c r="AI34" s="308"/>
      <c r="AJ34" s="308"/>
      <c r="AK34" s="308"/>
      <c r="AL34" s="309"/>
      <c r="AM34" s="27"/>
      <c r="AN34" s="30"/>
      <c r="AO34" s="30"/>
      <c r="AP34" s="28"/>
      <c r="AQ34" s="26"/>
      <c r="AR34" s="304" t="s">
        <v>28</v>
      </c>
      <c r="AS34" s="31"/>
      <c r="AT34" s="32"/>
      <c r="AU34" s="30"/>
      <c r="AV34" s="30"/>
      <c r="AW34" s="30"/>
      <c r="AX34" s="30"/>
      <c r="AY34" s="30"/>
    </row>
    <row r="35" spans="1:51" ht="43.5" customHeight="1" thickBot="1" x14ac:dyDescent="0.45">
      <c r="A35" s="23"/>
      <c r="B35" s="289"/>
      <c r="C35" s="290"/>
      <c r="D35" s="290"/>
      <c r="E35" s="290"/>
      <c r="F35" s="291"/>
      <c r="G35" s="24"/>
      <c r="H35" s="25"/>
      <c r="I35" s="26"/>
      <c r="J35" s="295"/>
      <c r="K35" s="296"/>
      <c r="L35" s="297"/>
      <c r="M35" s="27"/>
      <c r="N35" s="28"/>
      <c r="O35" s="26"/>
      <c r="P35" s="301"/>
      <c r="Q35" s="302"/>
      <c r="R35" s="302"/>
      <c r="S35" s="302"/>
      <c r="T35" s="302"/>
      <c r="U35" s="302"/>
      <c r="V35" s="302"/>
      <c r="W35" s="302"/>
      <c r="X35" s="302"/>
      <c r="Y35" s="302"/>
      <c r="Z35" s="302"/>
      <c r="AA35" s="302"/>
      <c r="AB35" s="303"/>
      <c r="AC35" s="27"/>
      <c r="AD35" s="28"/>
      <c r="AE35" s="29"/>
      <c r="AF35" s="310"/>
      <c r="AG35" s="311"/>
      <c r="AH35" s="311"/>
      <c r="AI35" s="311"/>
      <c r="AJ35" s="311"/>
      <c r="AK35" s="311"/>
      <c r="AL35" s="312"/>
      <c r="AM35" s="27"/>
      <c r="AN35" s="30"/>
      <c r="AO35" s="30"/>
      <c r="AP35" s="28"/>
      <c r="AQ35" s="26"/>
      <c r="AR35" s="305"/>
      <c r="AS35" s="31"/>
      <c r="AT35" s="32"/>
      <c r="AU35" s="5"/>
      <c r="AV35" s="5"/>
      <c r="AW35" s="30"/>
      <c r="AX35" s="30"/>
      <c r="AY35" s="30"/>
    </row>
    <row r="36" spans="1:51" ht="17.399999999999999" x14ac:dyDescent="0.3">
      <c r="A36" s="18"/>
      <c r="B36" s="33"/>
      <c r="C36" s="16"/>
      <c r="D36" s="16"/>
      <c r="E36" s="16"/>
      <c r="F36" s="16"/>
      <c r="G36" s="17"/>
      <c r="H36" s="34"/>
      <c r="I36" s="15"/>
      <c r="J36" s="35"/>
      <c r="K36" s="35"/>
      <c r="L36" s="35"/>
      <c r="M36" s="36"/>
      <c r="N36" s="35"/>
      <c r="O36" s="15"/>
      <c r="P36" s="35"/>
      <c r="Q36" s="35"/>
      <c r="R36" s="35"/>
      <c r="S36" s="35"/>
      <c r="T36" s="35"/>
      <c r="U36" s="35"/>
      <c r="V36" s="35"/>
      <c r="W36" s="35"/>
      <c r="X36" s="35"/>
      <c r="Y36" s="35"/>
      <c r="Z36" s="35"/>
      <c r="AA36" s="35"/>
      <c r="AB36" s="35"/>
      <c r="AC36" s="36"/>
      <c r="AD36" s="35"/>
      <c r="AE36" s="37"/>
      <c r="AF36" s="35"/>
      <c r="AG36" s="35"/>
      <c r="AH36" s="35"/>
      <c r="AI36" s="35"/>
      <c r="AJ36" s="35"/>
      <c r="AK36" s="35"/>
      <c r="AL36" s="35"/>
      <c r="AM36" s="36"/>
      <c r="AN36" s="5"/>
      <c r="AO36" s="5"/>
      <c r="AP36" s="35"/>
      <c r="AQ36" s="15"/>
      <c r="AR36" s="6"/>
      <c r="AS36" s="19"/>
      <c r="AT36" s="6"/>
      <c r="AU36" s="5"/>
      <c r="AV36" s="5"/>
      <c r="AW36" s="5"/>
      <c r="AX36" s="5"/>
      <c r="AY36" s="5"/>
    </row>
    <row r="37" spans="1:51" ht="30" x14ac:dyDescent="0.5">
      <c r="A37" s="38"/>
      <c r="B37" s="39" t="s">
        <v>29</v>
      </c>
      <c r="C37" s="40">
        <v>0</v>
      </c>
      <c r="D37" s="39" t="s">
        <v>30</v>
      </c>
      <c r="E37" s="40">
        <v>0</v>
      </c>
      <c r="F37" s="39" t="s">
        <v>31</v>
      </c>
      <c r="G37" s="41"/>
      <c r="H37" s="42"/>
      <c r="I37" s="38"/>
      <c r="J37" s="39" t="s">
        <v>32</v>
      </c>
      <c r="K37" s="40">
        <v>0</v>
      </c>
      <c r="L37" s="39" t="s">
        <v>33</v>
      </c>
      <c r="M37" s="41"/>
      <c r="N37" s="40"/>
      <c r="O37" s="38"/>
      <c r="P37" s="306" t="s">
        <v>34</v>
      </c>
      <c r="Q37" s="306"/>
      <c r="R37" s="306"/>
      <c r="S37" s="40">
        <v>0</v>
      </c>
      <c r="T37" s="40"/>
      <c r="U37" s="40"/>
      <c r="V37" s="39" t="s">
        <v>35</v>
      </c>
      <c r="W37" s="40"/>
      <c r="X37" s="40" t="s">
        <v>36</v>
      </c>
      <c r="Y37" s="40">
        <v>0</v>
      </c>
      <c r="Z37" s="39" t="s">
        <v>37</v>
      </c>
      <c r="AA37" s="40">
        <v>0</v>
      </c>
      <c r="AB37" s="39" t="s">
        <v>38</v>
      </c>
      <c r="AC37" s="41"/>
      <c r="AD37" s="40"/>
      <c r="AE37" s="38"/>
      <c r="AF37" s="39" t="s">
        <v>39</v>
      </c>
      <c r="AG37" s="40">
        <v>0</v>
      </c>
      <c r="AH37" s="39" t="s">
        <v>40</v>
      </c>
      <c r="AI37" s="40">
        <v>0</v>
      </c>
      <c r="AJ37" s="39" t="s">
        <v>41</v>
      </c>
      <c r="AK37" s="40">
        <v>0</v>
      </c>
      <c r="AL37" s="39" t="s">
        <v>42</v>
      </c>
      <c r="AM37" s="41"/>
      <c r="AN37" s="43"/>
      <c r="AO37" s="43"/>
      <c r="AP37" s="40"/>
      <c r="AQ37" s="44"/>
      <c r="AR37" s="40"/>
      <c r="AS37" s="45"/>
      <c r="AT37" s="46"/>
      <c r="AU37" s="47"/>
      <c r="AV37" s="47"/>
      <c r="AW37" s="47"/>
      <c r="AX37" s="47"/>
      <c r="AY37" s="47"/>
    </row>
    <row r="38" spans="1:51" ht="17.399999999999999" x14ac:dyDescent="0.3">
      <c r="A38" s="37"/>
      <c r="B38" s="334" t="s">
        <v>43</v>
      </c>
      <c r="C38" s="48"/>
      <c r="D38" s="336" t="s">
        <v>44</v>
      </c>
      <c r="E38" s="48"/>
      <c r="F38" s="336" t="s">
        <v>45</v>
      </c>
      <c r="G38" s="49"/>
      <c r="H38" s="34"/>
      <c r="I38" s="15"/>
      <c r="J38" s="336" t="s">
        <v>44</v>
      </c>
      <c r="K38" s="48"/>
      <c r="L38" s="334" t="s">
        <v>46</v>
      </c>
      <c r="M38" s="50"/>
      <c r="N38" s="51"/>
      <c r="O38" s="15"/>
      <c r="P38" s="323" t="s">
        <v>47</v>
      </c>
      <c r="Q38" s="324"/>
      <c r="R38" s="325"/>
      <c r="S38" s="6"/>
      <c r="T38" s="6"/>
      <c r="U38" s="6"/>
      <c r="V38" s="319" t="s">
        <v>48</v>
      </c>
      <c r="W38" s="51"/>
      <c r="X38" s="319" t="s">
        <v>49</v>
      </c>
      <c r="Y38" s="6"/>
      <c r="Z38" s="319" t="s">
        <v>50</v>
      </c>
      <c r="AA38" s="6"/>
      <c r="AB38" s="319" t="s">
        <v>51</v>
      </c>
      <c r="AC38" s="50"/>
      <c r="AD38" s="51"/>
      <c r="AE38" s="52"/>
      <c r="AF38" s="321" t="s">
        <v>52</v>
      </c>
      <c r="AG38" s="48"/>
      <c r="AH38" s="321" t="s">
        <v>44</v>
      </c>
      <c r="AI38" s="48"/>
      <c r="AJ38" s="321" t="s">
        <v>53</v>
      </c>
      <c r="AK38" s="48"/>
      <c r="AL38" s="321" t="s">
        <v>54</v>
      </c>
      <c r="AM38" s="50"/>
      <c r="AN38" s="5"/>
      <c r="AO38" s="5"/>
      <c r="AP38" s="51"/>
      <c r="AQ38" s="15"/>
      <c r="AR38" s="313" t="s">
        <v>55</v>
      </c>
      <c r="AS38" s="19"/>
      <c r="AT38" s="6"/>
      <c r="AU38" s="5"/>
      <c r="AV38" s="5"/>
      <c r="AW38" s="5"/>
      <c r="AX38" s="5"/>
      <c r="AY38" s="5"/>
    </row>
    <row r="39" spans="1:51" ht="255" customHeight="1" x14ac:dyDescent="0.5">
      <c r="A39" s="53"/>
      <c r="B39" s="335"/>
      <c r="C39" s="46"/>
      <c r="D39" s="337"/>
      <c r="E39" s="46"/>
      <c r="F39" s="337"/>
      <c r="G39" s="54"/>
      <c r="H39" s="42"/>
      <c r="I39" s="44"/>
      <c r="J39" s="337"/>
      <c r="K39" s="46"/>
      <c r="L39" s="335"/>
      <c r="M39" s="55"/>
      <c r="N39" s="56"/>
      <c r="O39" s="44"/>
      <c r="P39" s="326"/>
      <c r="Q39" s="327"/>
      <c r="R39" s="328"/>
      <c r="S39" s="46"/>
      <c r="T39" s="46"/>
      <c r="U39" s="46"/>
      <c r="V39" s="320"/>
      <c r="W39" s="56"/>
      <c r="X39" s="320"/>
      <c r="Y39" s="46"/>
      <c r="Z39" s="320"/>
      <c r="AA39" s="46"/>
      <c r="AB39" s="320"/>
      <c r="AC39" s="55"/>
      <c r="AD39" s="56"/>
      <c r="AE39" s="57"/>
      <c r="AF39" s="322"/>
      <c r="AG39" s="46"/>
      <c r="AH39" s="322"/>
      <c r="AI39" s="46"/>
      <c r="AJ39" s="322"/>
      <c r="AK39" s="46"/>
      <c r="AL39" s="322"/>
      <c r="AM39" s="55"/>
      <c r="AN39" s="47"/>
      <c r="AO39" s="47"/>
      <c r="AP39" s="56"/>
      <c r="AQ39" s="44"/>
      <c r="AR39" s="314"/>
      <c r="AS39" s="45"/>
      <c r="AT39" s="46"/>
      <c r="AU39" s="47"/>
      <c r="AV39" s="47"/>
      <c r="AW39" s="47"/>
      <c r="AX39" s="47"/>
      <c r="AY39" s="47"/>
    </row>
    <row r="40" spans="1:51" ht="34.799999999999997" x14ac:dyDescent="0.4">
      <c r="A40" s="58"/>
      <c r="B40" s="59"/>
      <c r="C40" s="60"/>
      <c r="D40" s="60"/>
      <c r="E40" s="60"/>
      <c r="F40" s="60"/>
      <c r="G40" s="61"/>
      <c r="H40" s="62"/>
      <c r="I40" s="58"/>
      <c r="J40" s="63" t="s">
        <v>56</v>
      </c>
      <c r="K40" s="63"/>
      <c r="L40" s="63" t="s">
        <v>56</v>
      </c>
      <c r="M40" s="64"/>
      <c r="N40" s="63"/>
      <c r="O40" s="65"/>
      <c r="P40" s="315" t="s">
        <v>56</v>
      </c>
      <c r="Q40" s="315"/>
      <c r="R40" s="315"/>
      <c r="S40" s="63"/>
      <c r="T40" s="63"/>
      <c r="U40" s="66"/>
      <c r="V40" s="66" t="s">
        <v>56</v>
      </c>
      <c r="W40" s="66"/>
      <c r="X40" s="66" t="s">
        <v>56</v>
      </c>
      <c r="Y40" s="66"/>
      <c r="Z40" s="66" t="s">
        <v>56</v>
      </c>
      <c r="AA40" s="66"/>
      <c r="AB40" s="66" t="s">
        <v>56</v>
      </c>
      <c r="AC40" s="64"/>
      <c r="AD40" s="63"/>
      <c r="AE40" s="65"/>
      <c r="AF40" s="63" t="s">
        <v>56</v>
      </c>
      <c r="AG40" s="63"/>
      <c r="AH40" s="63" t="s">
        <v>56</v>
      </c>
      <c r="AI40" s="63"/>
      <c r="AJ40" s="63" t="s">
        <v>56</v>
      </c>
      <c r="AK40" s="63"/>
      <c r="AL40" s="63" t="s">
        <v>56</v>
      </c>
      <c r="AM40" s="61"/>
      <c r="AN40" s="67"/>
      <c r="AO40" s="60"/>
      <c r="AP40" s="60"/>
      <c r="AQ40" s="58"/>
      <c r="AR40" s="60"/>
      <c r="AS40" s="61"/>
      <c r="AT40" s="60"/>
      <c r="AU40" s="68"/>
      <c r="AV40" s="69"/>
      <c r="AW40" s="67"/>
      <c r="AX40" s="67"/>
      <c r="AY40" s="67"/>
    </row>
    <row r="41" spans="1:51" ht="17.399999999999999" x14ac:dyDescent="0.3">
      <c r="A41" s="70"/>
      <c r="B41" s="71"/>
      <c r="C41" s="71"/>
      <c r="D41" s="71"/>
      <c r="E41" s="71"/>
      <c r="F41" s="71"/>
      <c r="G41" s="72"/>
      <c r="H41" s="34"/>
      <c r="I41" s="70"/>
      <c r="J41" s="73"/>
      <c r="K41" s="73"/>
      <c r="L41" s="73"/>
      <c r="M41" s="74"/>
      <c r="N41" s="73"/>
      <c r="O41" s="75"/>
      <c r="P41" s="73"/>
      <c r="Q41" s="73"/>
      <c r="R41" s="73"/>
      <c r="S41" s="73"/>
      <c r="T41" s="73"/>
      <c r="U41" s="73"/>
      <c r="V41" s="73"/>
      <c r="W41" s="73"/>
      <c r="X41" s="73"/>
      <c r="Y41" s="73"/>
      <c r="Z41" s="73"/>
      <c r="AA41" s="73"/>
      <c r="AB41" s="73"/>
      <c r="AC41" s="74"/>
      <c r="AD41" s="73"/>
      <c r="AE41" s="75"/>
      <c r="AF41" s="73"/>
      <c r="AG41" s="73"/>
      <c r="AH41" s="73"/>
      <c r="AI41" s="73"/>
      <c r="AJ41" s="73"/>
      <c r="AK41" s="73"/>
      <c r="AL41" s="73"/>
      <c r="AM41" s="74"/>
      <c r="AN41" s="70"/>
      <c r="AO41" s="71"/>
      <c r="AP41" s="73"/>
      <c r="AQ41" s="70"/>
      <c r="AR41" s="71"/>
      <c r="AS41" s="72"/>
      <c r="AT41" s="71"/>
      <c r="AU41" s="6"/>
      <c r="AV41" s="5"/>
      <c r="AW41" s="76"/>
      <c r="AX41" s="76"/>
      <c r="AY41" s="76"/>
    </row>
    <row r="42" spans="1:51" ht="30" x14ac:dyDescent="0.5">
      <c r="A42" s="77"/>
      <c r="B42" s="78"/>
      <c r="C42" s="79"/>
      <c r="D42" s="80"/>
      <c r="E42" s="79"/>
      <c r="F42" s="80"/>
      <c r="G42" s="81"/>
      <c r="H42" s="80"/>
      <c r="I42" s="82"/>
      <c r="J42" s="80"/>
      <c r="K42" s="79"/>
      <c r="L42" s="83"/>
      <c r="M42" s="84"/>
      <c r="N42" s="83"/>
      <c r="O42" s="82"/>
      <c r="P42" s="40"/>
      <c r="Q42" s="40"/>
      <c r="R42" s="40"/>
      <c r="S42" s="79"/>
      <c r="T42" s="79"/>
      <c r="U42" s="79"/>
      <c r="V42" s="83"/>
      <c r="W42" s="83"/>
      <c r="X42" s="83"/>
      <c r="Y42" s="79"/>
      <c r="Z42" s="83"/>
      <c r="AA42" s="79"/>
      <c r="AB42" s="83"/>
      <c r="AC42" s="84"/>
      <c r="AD42" s="83"/>
      <c r="AE42" s="85"/>
      <c r="AF42" s="83"/>
      <c r="AG42" s="79"/>
      <c r="AH42" s="83"/>
      <c r="AI42" s="79"/>
      <c r="AJ42" s="83"/>
      <c r="AK42" s="79"/>
      <c r="AL42" s="83"/>
      <c r="AM42" s="84"/>
      <c r="AN42" s="86"/>
      <c r="AO42" s="79"/>
      <c r="AP42" s="83"/>
      <c r="AQ42" s="82"/>
      <c r="AR42" s="79"/>
      <c r="AS42" s="87"/>
      <c r="AT42" s="79"/>
      <c r="AU42" s="79"/>
      <c r="AV42" s="86"/>
      <c r="AW42" s="86"/>
      <c r="AX42" s="86"/>
      <c r="AY42" s="86"/>
    </row>
    <row r="43" spans="1:51" ht="34.799999999999997" x14ac:dyDescent="0.35">
      <c r="A43" s="77"/>
      <c r="B43" s="78"/>
      <c r="C43" s="79"/>
      <c r="D43" s="80"/>
      <c r="E43" s="79"/>
      <c r="F43" s="80"/>
      <c r="G43" s="81"/>
      <c r="H43" s="80"/>
      <c r="I43" s="82"/>
      <c r="J43" s="80"/>
      <c r="K43" s="79"/>
      <c r="L43" s="83"/>
      <c r="M43" s="84"/>
      <c r="N43" s="83"/>
      <c r="O43" s="82"/>
      <c r="P43" s="88" t="s">
        <v>57</v>
      </c>
      <c r="Q43" s="89"/>
      <c r="R43" s="316" t="s">
        <v>58</v>
      </c>
      <c r="S43" s="317"/>
      <c r="T43" s="317"/>
      <c r="U43" s="317"/>
      <c r="V43" s="317"/>
      <c r="W43" s="317"/>
      <c r="X43" s="317"/>
      <c r="Y43" s="317"/>
      <c r="Z43" s="317"/>
      <c r="AA43" s="317"/>
      <c r="AB43" s="318"/>
      <c r="AC43" s="84"/>
      <c r="AD43" s="83"/>
      <c r="AE43" s="85"/>
      <c r="AF43" s="83"/>
      <c r="AG43" s="79"/>
      <c r="AH43" s="83"/>
      <c r="AI43" s="79"/>
      <c r="AJ43" s="83"/>
      <c r="AK43" s="79"/>
      <c r="AL43" s="83"/>
      <c r="AM43" s="84"/>
      <c r="AN43" s="86"/>
      <c r="AO43" s="79"/>
      <c r="AP43" s="83"/>
      <c r="AQ43" s="82"/>
      <c r="AR43" s="79"/>
      <c r="AS43" s="87"/>
      <c r="AT43" s="79"/>
      <c r="AU43" s="79"/>
      <c r="AV43" s="86"/>
      <c r="AW43" s="86"/>
      <c r="AX43" s="86"/>
      <c r="AY43" s="86"/>
    </row>
    <row r="44" spans="1:51" ht="34.799999999999997" x14ac:dyDescent="0.35">
      <c r="A44" s="77"/>
      <c r="B44" s="78"/>
      <c r="C44" s="79"/>
      <c r="D44" s="80"/>
      <c r="E44" s="79"/>
      <c r="F44" s="80"/>
      <c r="G44" s="81"/>
      <c r="H44" s="80"/>
      <c r="I44" s="82"/>
      <c r="J44" s="80"/>
      <c r="K44" s="79"/>
      <c r="L44" s="83"/>
      <c r="M44" s="84"/>
      <c r="N44" s="83"/>
      <c r="O44" s="82"/>
      <c r="P44" s="315" t="s">
        <v>56</v>
      </c>
      <c r="Q44" s="315"/>
      <c r="R44" s="315"/>
      <c r="S44" s="90"/>
      <c r="T44" s="90"/>
      <c r="U44" s="90"/>
      <c r="V44" s="90"/>
      <c r="W44" s="90"/>
      <c r="X44" s="90"/>
      <c r="Y44" s="90"/>
      <c r="Z44" s="90"/>
      <c r="AA44" s="90"/>
      <c r="AB44" s="90"/>
      <c r="AC44" s="84"/>
      <c r="AD44" s="83"/>
      <c r="AE44" s="85"/>
      <c r="AF44" s="83"/>
      <c r="AG44" s="79"/>
      <c r="AH44" s="83"/>
      <c r="AI44" s="79"/>
      <c r="AJ44" s="83"/>
      <c r="AK44" s="79"/>
      <c r="AL44" s="83"/>
      <c r="AM44" s="84"/>
      <c r="AN44" s="86"/>
      <c r="AO44" s="79"/>
      <c r="AP44" s="83"/>
      <c r="AQ44" s="82"/>
      <c r="AR44" s="79"/>
      <c r="AS44" s="87"/>
      <c r="AT44" s="79"/>
      <c r="AU44" s="79"/>
      <c r="AV44" s="86"/>
      <c r="AW44" s="86"/>
      <c r="AX44" s="86"/>
      <c r="AY44" s="86"/>
    </row>
    <row r="45" spans="1:51" ht="34.799999999999997" x14ac:dyDescent="0.55000000000000004">
      <c r="A45" s="37"/>
      <c r="B45" s="91"/>
      <c r="C45" s="6"/>
      <c r="D45" s="34"/>
      <c r="E45" s="6"/>
      <c r="F45" s="34"/>
      <c r="G45" s="49"/>
      <c r="H45" s="34"/>
      <c r="I45" s="15"/>
      <c r="J45" s="34"/>
      <c r="K45" s="6"/>
      <c r="L45" s="51"/>
      <c r="M45" s="50"/>
      <c r="N45" s="51"/>
      <c r="O45" s="15"/>
      <c r="P45" s="92" t="s">
        <v>59</v>
      </c>
      <c r="Q45" s="93"/>
      <c r="R45" s="329" t="s">
        <v>60</v>
      </c>
      <c r="S45" s="330"/>
      <c r="T45" s="330"/>
      <c r="U45" s="330"/>
      <c r="V45" s="330"/>
      <c r="W45" s="330"/>
      <c r="X45" s="330"/>
      <c r="Y45" s="330"/>
      <c r="Z45" s="330"/>
      <c r="AA45" s="330"/>
      <c r="AB45" s="331"/>
      <c r="AC45" s="50"/>
      <c r="AD45" s="51"/>
      <c r="AE45" s="52"/>
      <c r="AF45" s="51"/>
      <c r="AG45" s="6"/>
      <c r="AH45" s="51"/>
      <c r="AI45" s="6"/>
      <c r="AJ45" s="51"/>
      <c r="AK45" s="6"/>
      <c r="AL45" s="51"/>
      <c r="AM45" s="50"/>
      <c r="AN45" s="5"/>
      <c r="AO45" s="5"/>
      <c r="AP45" s="51"/>
      <c r="AQ45" s="15"/>
      <c r="AR45" s="6"/>
      <c r="AS45" s="19"/>
      <c r="AT45" s="6"/>
      <c r="AU45" s="5"/>
      <c r="AV45" s="5"/>
      <c r="AW45" s="5"/>
      <c r="AX45" s="5"/>
      <c r="AY45" s="5"/>
    </row>
    <row r="46" spans="1:51" ht="35.4" thickBot="1" x14ac:dyDescent="0.35">
      <c r="A46" s="94"/>
      <c r="B46" s="95"/>
      <c r="C46" s="96"/>
      <c r="D46" s="96"/>
      <c r="E46" s="96"/>
      <c r="F46" s="96"/>
      <c r="G46" s="97"/>
      <c r="H46" s="80"/>
      <c r="I46" s="94"/>
      <c r="J46" s="96"/>
      <c r="K46" s="96"/>
      <c r="L46" s="96"/>
      <c r="M46" s="97"/>
      <c r="N46" s="98"/>
      <c r="O46" s="94"/>
      <c r="P46" s="332" t="s">
        <v>56</v>
      </c>
      <c r="Q46" s="332"/>
      <c r="R46" s="332"/>
      <c r="S46" s="96"/>
      <c r="T46" s="96"/>
      <c r="U46" s="96"/>
      <c r="V46" s="96"/>
      <c r="W46" s="96"/>
      <c r="X46" s="96"/>
      <c r="Y46" s="96"/>
      <c r="Z46" s="96"/>
      <c r="AA46" s="96"/>
      <c r="AB46" s="96"/>
      <c r="AC46" s="97"/>
      <c r="AD46" s="98"/>
      <c r="AE46" s="94"/>
      <c r="AF46" s="96"/>
      <c r="AG46" s="96"/>
      <c r="AH46" s="96"/>
      <c r="AI46" s="96"/>
      <c r="AJ46" s="96"/>
      <c r="AK46" s="96"/>
      <c r="AL46" s="96"/>
      <c r="AM46" s="97"/>
      <c r="AN46" s="99"/>
      <c r="AO46" s="98"/>
      <c r="AP46" s="98"/>
      <c r="AQ46" s="94"/>
      <c r="AR46" s="96"/>
      <c r="AS46" s="97"/>
      <c r="AT46" s="98"/>
      <c r="AU46" s="5"/>
      <c r="AV46" s="5"/>
      <c r="AW46" s="100"/>
      <c r="AX46" s="100"/>
      <c r="AY46" s="100"/>
    </row>
    <row r="47" spans="1:51" ht="17.399999999999999" x14ac:dyDescent="0.3">
      <c r="A47" s="6"/>
      <c r="B47" s="6"/>
      <c r="C47" s="6"/>
      <c r="D47" s="6"/>
      <c r="E47" s="6"/>
      <c r="F47" s="6"/>
      <c r="G47" s="6"/>
      <c r="H47" s="34"/>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ht="17.399999999999999" x14ac:dyDescent="0.3">
      <c r="A48" s="6"/>
      <c r="B48" s="6"/>
      <c r="C48" s="6"/>
      <c r="D48" s="6"/>
      <c r="E48" s="6"/>
      <c r="F48" s="6"/>
      <c r="G48" s="6"/>
      <c r="H48" s="34"/>
      <c r="I48" s="6"/>
      <c r="J48" s="6"/>
      <c r="K48" s="6"/>
      <c r="L48" s="6"/>
      <c r="M48" s="6"/>
      <c r="N48" s="6"/>
      <c r="O48" s="6"/>
      <c r="P48" s="101"/>
      <c r="Q48" s="101"/>
      <c r="R48" s="101"/>
      <c r="S48" s="101"/>
      <c r="T48" s="101"/>
      <c r="U48" s="101"/>
      <c r="V48" s="101"/>
      <c r="W48" s="101"/>
      <c r="X48" s="101"/>
      <c r="Y48" s="101"/>
      <c r="Z48" s="101"/>
      <c r="AA48" s="101"/>
      <c r="AB48" s="101"/>
      <c r="AC48" s="6"/>
      <c r="AD48" s="6"/>
      <c r="AE48" s="6"/>
      <c r="AF48" s="6"/>
      <c r="AG48" s="6"/>
      <c r="AH48" s="6"/>
      <c r="AI48" s="6"/>
      <c r="AJ48" s="6"/>
      <c r="AK48" s="6"/>
      <c r="AL48" s="6"/>
      <c r="AM48" s="6"/>
      <c r="AN48" s="6"/>
      <c r="AO48" s="6"/>
      <c r="AP48" s="6"/>
      <c r="AQ48" s="6"/>
      <c r="AR48" s="6"/>
      <c r="AS48" s="6"/>
      <c r="AT48" s="6"/>
      <c r="AU48" s="6"/>
      <c r="AV48" s="5"/>
      <c r="AW48" s="5"/>
      <c r="AX48" s="5"/>
      <c r="AY48" s="5"/>
    </row>
    <row r="49" spans="1:51" ht="34.799999999999997" x14ac:dyDescent="0.55000000000000004">
      <c r="A49" s="7"/>
      <c r="B49" s="333"/>
      <c r="C49" s="333"/>
      <c r="D49" s="333"/>
      <c r="E49" s="333"/>
      <c r="F49" s="333"/>
      <c r="G49" s="90"/>
      <c r="H49" s="102"/>
      <c r="I49" s="103"/>
      <c r="J49" s="90"/>
      <c r="K49" s="103"/>
      <c r="L49" s="90"/>
      <c r="M49" s="90"/>
      <c r="N49" s="90"/>
      <c r="O49" s="103"/>
      <c r="P49" s="104"/>
      <c r="Q49" s="104"/>
      <c r="R49" s="104"/>
      <c r="S49" s="104"/>
      <c r="T49" s="104"/>
      <c r="U49" s="104"/>
      <c r="V49" s="104"/>
      <c r="W49" s="104"/>
      <c r="X49" s="104"/>
      <c r="Y49" s="104"/>
      <c r="Z49" s="104"/>
      <c r="AA49" s="104"/>
      <c r="AB49" s="104"/>
      <c r="AC49" s="90"/>
      <c r="AD49" s="90"/>
      <c r="AE49" s="103"/>
      <c r="AF49" s="90"/>
      <c r="AG49" s="103"/>
      <c r="AH49" s="90"/>
      <c r="AI49" s="103"/>
      <c r="AJ49" s="90"/>
      <c r="AK49" s="103"/>
      <c r="AL49" s="90"/>
      <c r="AM49" s="105"/>
      <c r="AN49" s="106"/>
      <c r="AO49" s="90"/>
      <c r="AP49" s="16"/>
      <c r="AQ49" s="7"/>
      <c r="AR49" s="90"/>
      <c r="AS49" s="7"/>
      <c r="AT49" s="6"/>
      <c r="AU49" s="6"/>
      <c r="AV49" s="5"/>
      <c r="AW49" s="5"/>
      <c r="AX49" s="5"/>
      <c r="AY49" s="5"/>
    </row>
    <row r="50" spans="1:51" ht="35.4" x14ac:dyDescent="0.55000000000000004">
      <c r="A50" s="7"/>
      <c r="B50" s="333"/>
      <c r="C50" s="333"/>
      <c r="D50" s="333"/>
      <c r="E50" s="333"/>
      <c r="F50" s="333"/>
      <c r="G50" s="90"/>
      <c r="H50" s="102"/>
      <c r="I50" s="107"/>
      <c r="J50" s="108"/>
      <c r="K50" s="107"/>
      <c r="L50" s="108"/>
      <c r="M50" s="108"/>
      <c r="N50" s="108"/>
      <c r="O50" s="107"/>
      <c r="P50" s="109"/>
      <c r="Q50" s="110"/>
      <c r="R50" s="109"/>
      <c r="S50" s="110"/>
      <c r="T50" s="109"/>
      <c r="U50" s="110"/>
      <c r="V50" s="109"/>
      <c r="W50" s="110"/>
      <c r="X50" s="109"/>
      <c r="Y50" s="110"/>
      <c r="Z50" s="109"/>
      <c r="AA50" s="110"/>
      <c r="AB50" s="109"/>
      <c r="AC50" s="108"/>
      <c r="AD50" s="108"/>
      <c r="AE50" s="107"/>
      <c r="AF50" s="108"/>
      <c r="AG50" s="107"/>
      <c r="AH50" s="108"/>
      <c r="AI50" s="107"/>
      <c r="AJ50" s="108"/>
      <c r="AK50" s="107"/>
      <c r="AL50" s="108"/>
      <c r="AM50" s="111"/>
      <c r="AN50" s="68"/>
      <c r="AO50" s="112"/>
      <c r="AP50" s="35"/>
      <c r="AQ50" s="6"/>
      <c r="AR50" s="113"/>
      <c r="AS50" s="6"/>
      <c r="AT50" s="6"/>
      <c r="AU50" s="6"/>
      <c r="AV50" s="5"/>
      <c r="AW50" s="5"/>
      <c r="AX50" s="5"/>
      <c r="AY50" s="5"/>
    </row>
  </sheetData>
  <customSheetViews>
    <customSheetView guid="{A466747D-BC11-4359-8DB2-79FDF5927363}" scale="82">
      <selection activeCell="B20" sqref="B20"/>
      <pageMargins left="0.7" right="0.7" top="0.75" bottom="0.75" header="0.3" footer="0.3"/>
      <pageSetup paperSize="9" orientation="portrait" r:id="rId1"/>
    </customSheetView>
    <customSheetView guid="{076EF5BB-A6AA-4ACD-9CF4-82C37E85D83C}" scale="82" topLeftCell="A8">
      <selection activeCell="C19" sqref="C19"/>
      <pageMargins left="0.7" right="0.7" top="0.75" bottom="0.75" header="0.3" footer="0.3"/>
      <pageSetup paperSize="9" orientation="portrait" r:id="rId2"/>
    </customSheetView>
    <customSheetView guid="{6774CEDA-A5AA-4ECD-96FF-5AD648D47675}" scale="82">
      <selection activeCell="C8" sqref="C8"/>
      <pageMargins left="0.7" right="0.7" top="0.75" bottom="0.75" header="0.3" footer="0.3"/>
      <pageSetup paperSize="9" orientation="portrait" r:id="rId3"/>
    </customSheetView>
    <customSheetView guid="{519414D7-B194-4B83-AA2D-520F5FD85EC7}" scale="82">
      <selection activeCell="B20" sqref="B20"/>
      <pageMargins left="0.7" right="0.7" top="0.75" bottom="0.75" header="0.3" footer="0.3"/>
      <pageSetup paperSize="9" orientation="portrait" r:id="rId4"/>
    </customSheetView>
  </customSheetViews>
  <mergeCells count="35">
    <mergeCell ref="R45:AB45"/>
    <mergeCell ref="P46:R46"/>
    <mergeCell ref="B49:F49"/>
    <mergeCell ref="B50:F50"/>
    <mergeCell ref="AJ38:AJ39"/>
    <mergeCell ref="B38:B39"/>
    <mergeCell ref="D38:D39"/>
    <mergeCell ref="F38:F39"/>
    <mergeCell ref="J38:J39"/>
    <mergeCell ref="L38:L39"/>
    <mergeCell ref="AR38:AR39"/>
    <mergeCell ref="P40:R40"/>
    <mergeCell ref="R43:AB43"/>
    <mergeCell ref="P44:R44"/>
    <mergeCell ref="V38:V39"/>
    <mergeCell ref="X38:X39"/>
    <mergeCell ref="Z38:Z39"/>
    <mergeCell ref="AB38:AB39"/>
    <mergeCell ref="AF38:AF39"/>
    <mergeCell ref="AH38:AH39"/>
    <mergeCell ref="AL38:AL39"/>
    <mergeCell ref="P38:R39"/>
    <mergeCell ref="B34:F35"/>
    <mergeCell ref="J34:L35"/>
    <mergeCell ref="P34:AB35"/>
    <mergeCell ref="AR34:AR35"/>
    <mergeCell ref="P37:R37"/>
    <mergeCell ref="AF34:AL35"/>
    <mergeCell ref="A27:AS27"/>
    <mergeCell ref="A29:AM29"/>
    <mergeCell ref="AQ29:AS29"/>
    <mergeCell ref="B32:F32"/>
    <mergeCell ref="J32:L32"/>
    <mergeCell ref="P32:AB32"/>
    <mergeCell ref="AF32:AL32"/>
  </mergeCell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027" r:id="rId8" name="Drop Down 3">
              <controlPr defaultSize="0" autoLine="0" autoPict="0">
                <anchor moveWithCells="1">
                  <from>
                    <xdr:col>1</xdr:col>
                    <xdr:colOff>30480</xdr:colOff>
                    <xdr:row>3</xdr:row>
                    <xdr:rowOff>129540</xdr:rowOff>
                  </from>
                  <to>
                    <xdr:col>1</xdr:col>
                    <xdr:colOff>2819400</xdr:colOff>
                    <xdr:row>6</xdr:row>
                    <xdr:rowOff>137160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C13" workbookViewId="0">
      <selection activeCell="M36" sqref="M36"/>
    </sheetView>
  </sheetViews>
  <sheetFormatPr baseColWidth="10" defaultColWidth="11.44140625" defaultRowHeight="14.4" x14ac:dyDescent="0.3"/>
  <cols>
    <col min="2" max="2" width="7.44140625" customWidth="1"/>
    <col min="3" max="3" width="16" customWidth="1"/>
  </cols>
  <sheetData>
    <row r="1" spans="1:13" x14ac:dyDescent="0.3">
      <c r="A1" t="s">
        <v>3</v>
      </c>
    </row>
    <row r="6" spans="1:13" ht="2.25" customHeight="1" thickBot="1" x14ac:dyDescent="0.35">
      <c r="C6" s="163" t="s">
        <v>3</v>
      </c>
      <c r="H6" t="s">
        <v>483</v>
      </c>
    </row>
    <row r="7" spans="1:13" ht="51" customHeight="1" x14ac:dyDescent="0.3">
      <c r="C7" s="340"/>
      <c r="D7" s="338" t="s">
        <v>450</v>
      </c>
      <c r="E7" s="338" t="s">
        <v>451</v>
      </c>
      <c r="F7" s="338" t="s">
        <v>430</v>
      </c>
      <c r="G7" s="338" t="s">
        <v>5</v>
      </c>
      <c r="H7" s="338" t="s">
        <v>484</v>
      </c>
      <c r="I7" s="338" t="s">
        <v>482</v>
      </c>
      <c r="J7" s="338" t="s">
        <v>454</v>
      </c>
      <c r="K7" s="338" t="s">
        <v>452</v>
      </c>
      <c r="L7" s="192" t="s">
        <v>455</v>
      </c>
      <c r="M7" s="192" t="s">
        <v>433</v>
      </c>
    </row>
    <row r="8" spans="1:13" ht="57.75" hidden="1" customHeight="1" x14ac:dyDescent="0.3">
      <c r="C8" s="341"/>
      <c r="D8" s="339"/>
      <c r="E8" s="339"/>
      <c r="F8" s="339"/>
      <c r="G8" s="339"/>
      <c r="H8" s="339"/>
      <c r="I8" s="339"/>
      <c r="J8" s="339"/>
      <c r="K8" s="339"/>
      <c r="L8" s="193"/>
      <c r="M8" s="193" t="s">
        <v>434</v>
      </c>
    </row>
    <row r="9" spans="1:13" s="190" customFormat="1" ht="57.75" customHeight="1" thickBot="1" x14ac:dyDescent="0.35">
      <c r="C9" s="191"/>
      <c r="D9" s="194"/>
      <c r="E9" s="195" t="s">
        <v>456</v>
      </c>
      <c r="F9" s="195" t="s">
        <v>457</v>
      </c>
      <c r="G9" s="195"/>
      <c r="H9" s="195" t="s">
        <v>458</v>
      </c>
      <c r="I9" s="195" t="s">
        <v>458</v>
      </c>
      <c r="J9" s="195" t="s">
        <v>459</v>
      </c>
      <c r="K9" s="195" t="s">
        <v>453</v>
      </c>
      <c r="L9" s="195" t="s">
        <v>460</v>
      </c>
      <c r="M9" s="195" t="s">
        <v>458</v>
      </c>
    </row>
    <row r="10" spans="1:13" ht="15" thickBot="1" x14ac:dyDescent="0.35">
      <c r="C10" s="164" t="s">
        <v>431</v>
      </c>
      <c r="D10" s="166" t="s">
        <v>128</v>
      </c>
      <c r="E10" s="167">
        <v>1</v>
      </c>
      <c r="F10" s="167">
        <v>0.22</v>
      </c>
      <c r="G10" s="167">
        <v>10</v>
      </c>
      <c r="H10" s="167"/>
      <c r="I10" s="167">
        <v>0.06</v>
      </c>
      <c r="J10" s="167">
        <f>G10*E10</f>
        <v>10</v>
      </c>
      <c r="K10" s="167">
        <f>G10*F10</f>
        <v>2.2000000000000002</v>
      </c>
      <c r="L10" s="167">
        <f>G10</f>
        <v>10</v>
      </c>
      <c r="M10" s="167">
        <f>IF(G10=0,0,H10+I10*G10)</f>
        <v>0.6</v>
      </c>
    </row>
    <row r="11" spans="1:13" ht="15" thickBot="1" x14ac:dyDescent="0.35">
      <c r="C11" s="164" t="s">
        <v>3</v>
      </c>
      <c r="D11" s="165" t="s">
        <v>448</v>
      </c>
      <c r="E11" s="167">
        <v>1.1000000000000001</v>
      </c>
      <c r="F11" s="167">
        <v>0.22</v>
      </c>
      <c r="G11" s="167">
        <v>0</v>
      </c>
      <c r="H11" s="167"/>
      <c r="I11" s="167">
        <v>0.06</v>
      </c>
      <c r="J11" s="167">
        <f t="shared" ref="J11:J13" si="0">G11*E11</f>
        <v>0</v>
      </c>
      <c r="K11" s="167">
        <f t="shared" ref="K11:K13" si="1">G11*F11</f>
        <v>0</v>
      </c>
      <c r="L11" s="167">
        <f t="shared" ref="L11:L13" si="2">G11</f>
        <v>0</v>
      </c>
      <c r="M11" s="167">
        <f>IF(G11=0,0,H11+I11*G11)</f>
        <v>0</v>
      </c>
    </row>
    <row r="12" spans="1:13" ht="15" thickBot="1" x14ac:dyDescent="0.35">
      <c r="C12" s="164" t="s">
        <v>3</v>
      </c>
      <c r="D12" s="166" t="s">
        <v>171</v>
      </c>
      <c r="E12" s="167">
        <v>2.5</v>
      </c>
      <c r="F12" s="167">
        <v>0.1</v>
      </c>
      <c r="G12" s="167">
        <v>1</v>
      </c>
      <c r="H12" s="167"/>
      <c r="I12" s="167">
        <v>0.12</v>
      </c>
      <c r="J12" s="167">
        <f t="shared" si="0"/>
        <v>2.5</v>
      </c>
      <c r="K12" s="167">
        <f t="shared" si="1"/>
        <v>0.1</v>
      </c>
      <c r="L12" s="167">
        <f t="shared" si="2"/>
        <v>1</v>
      </c>
      <c r="M12" s="167">
        <f>IF(G12=0,0,H12+I12*G12)</f>
        <v>0.12</v>
      </c>
    </row>
    <row r="13" spans="1:13" ht="15" thickBot="1" x14ac:dyDescent="0.35">
      <c r="C13" s="164" t="s">
        <v>444</v>
      </c>
      <c r="D13" s="166" t="s">
        <v>128</v>
      </c>
      <c r="E13" s="167">
        <v>1</v>
      </c>
      <c r="F13" s="167">
        <v>0.22</v>
      </c>
      <c r="G13" s="167">
        <v>3</v>
      </c>
      <c r="H13" s="167"/>
      <c r="I13" s="167">
        <v>0.06</v>
      </c>
      <c r="J13" s="167">
        <f t="shared" si="0"/>
        <v>3</v>
      </c>
      <c r="K13" s="167">
        <f t="shared" si="1"/>
        <v>0.66</v>
      </c>
      <c r="L13" s="167">
        <f t="shared" si="2"/>
        <v>3</v>
      </c>
      <c r="M13" s="167">
        <f t="shared" ref="M13:M30" si="3">IF(G13=0,0,H13+I13*G13)</f>
        <v>0.18</v>
      </c>
    </row>
    <row r="14" spans="1:13" ht="15" thickBot="1" x14ac:dyDescent="0.35">
      <c r="C14" s="164"/>
      <c r="D14" s="165" t="s">
        <v>448</v>
      </c>
      <c r="E14" s="167">
        <v>1.1000000000000001</v>
      </c>
      <c r="F14" s="167">
        <v>0.22</v>
      </c>
      <c r="G14" s="167">
        <v>0</v>
      </c>
      <c r="H14" s="167"/>
      <c r="I14" s="167">
        <v>0.06</v>
      </c>
      <c r="J14" s="167">
        <f t="shared" ref="J14:J30" si="4">G14*E14</f>
        <v>0</v>
      </c>
      <c r="K14" s="167">
        <f t="shared" ref="K14:K30" si="5">G14*F14</f>
        <v>0</v>
      </c>
      <c r="L14" s="167">
        <f t="shared" ref="L14:L30" si="6">G14</f>
        <v>0</v>
      </c>
      <c r="M14" s="167">
        <f t="shared" si="3"/>
        <v>0</v>
      </c>
    </row>
    <row r="15" spans="1:13" ht="15" thickBot="1" x14ac:dyDescent="0.35">
      <c r="C15" s="164"/>
      <c r="D15" s="166" t="s">
        <v>171</v>
      </c>
      <c r="E15" s="167">
        <v>2.5</v>
      </c>
      <c r="F15" s="167">
        <v>0.1</v>
      </c>
      <c r="G15" s="167">
        <v>0</v>
      </c>
      <c r="H15" s="167"/>
      <c r="I15" s="167">
        <v>0.12</v>
      </c>
      <c r="J15" s="167">
        <f t="shared" si="4"/>
        <v>0</v>
      </c>
      <c r="K15" s="167">
        <f t="shared" si="5"/>
        <v>0</v>
      </c>
      <c r="L15" s="167">
        <f t="shared" si="6"/>
        <v>0</v>
      </c>
      <c r="M15" s="167">
        <f t="shared" si="3"/>
        <v>0</v>
      </c>
    </row>
    <row r="16" spans="1:13" ht="15" thickBot="1" x14ac:dyDescent="0.35">
      <c r="C16" s="164" t="s">
        <v>445</v>
      </c>
      <c r="D16" s="166" t="s">
        <v>128</v>
      </c>
      <c r="E16" s="167">
        <v>1</v>
      </c>
      <c r="F16" s="167">
        <v>0.22</v>
      </c>
      <c r="G16" s="167">
        <v>0</v>
      </c>
      <c r="H16" s="167"/>
      <c r="I16" s="167">
        <v>0.06</v>
      </c>
      <c r="J16" s="167">
        <f t="shared" si="4"/>
        <v>0</v>
      </c>
      <c r="K16" s="167">
        <f t="shared" si="5"/>
        <v>0</v>
      </c>
      <c r="L16" s="167">
        <f t="shared" si="6"/>
        <v>0</v>
      </c>
      <c r="M16" s="167">
        <f t="shared" si="3"/>
        <v>0</v>
      </c>
    </row>
    <row r="17" spans="3:13" ht="15" thickBot="1" x14ac:dyDescent="0.35">
      <c r="C17" s="164" t="s">
        <v>3</v>
      </c>
      <c r="D17" s="165" t="s">
        <v>448</v>
      </c>
      <c r="E17" s="167">
        <v>1.1000000000000001</v>
      </c>
      <c r="F17" s="167">
        <v>0.22</v>
      </c>
      <c r="G17" s="167">
        <v>0</v>
      </c>
      <c r="H17" s="167"/>
      <c r="I17" s="167">
        <v>0.06</v>
      </c>
      <c r="J17" s="167">
        <f t="shared" si="4"/>
        <v>0</v>
      </c>
      <c r="K17" s="167">
        <f t="shared" si="5"/>
        <v>0</v>
      </c>
      <c r="L17" s="167">
        <f t="shared" si="6"/>
        <v>0</v>
      </c>
      <c r="M17" s="167">
        <f t="shared" si="3"/>
        <v>0</v>
      </c>
    </row>
    <row r="18" spans="3:13" ht="15" thickBot="1" x14ac:dyDescent="0.35">
      <c r="C18" s="164" t="s">
        <v>3</v>
      </c>
      <c r="D18" s="166" t="s">
        <v>171</v>
      </c>
      <c r="E18" s="167">
        <v>2.5</v>
      </c>
      <c r="F18" s="167">
        <v>0.1</v>
      </c>
      <c r="G18" s="167">
        <v>5</v>
      </c>
      <c r="H18" s="167"/>
      <c r="I18" s="167">
        <v>0.12</v>
      </c>
      <c r="J18" s="167">
        <f t="shared" si="4"/>
        <v>12.5</v>
      </c>
      <c r="K18" s="167">
        <f t="shared" si="5"/>
        <v>0.5</v>
      </c>
      <c r="L18" s="167">
        <f t="shared" si="6"/>
        <v>5</v>
      </c>
      <c r="M18" s="167">
        <f t="shared" si="3"/>
        <v>0.6</v>
      </c>
    </row>
    <row r="19" spans="3:13" ht="21" thickBot="1" x14ac:dyDescent="0.35">
      <c r="C19" s="164" t="s">
        <v>447</v>
      </c>
      <c r="D19" s="166" t="s">
        <v>128</v>
      </c>
      <c r="E19" s="167">
        <v>1</v>
      </c>
      <c r="F19" s="167">
        <v>0.22</v>
      </c>
      <c r="G19" s="167">
        <v>0</v>
      </c>
      <c r="H19" s="167"/>
      <c r="I19" s="167">
        <v>0.06</v>
      </c>
      <c r="J19" s="167">
        <f t="shared" si="4"/>
        <v>0</v>
      </c>
      <c r="K19" s="167">
        <f t="shared" si="5"/>
        <v>0</v>
      </c>
      <c r="L19" s="167">
        <f t="shared" si="6"/>
        <v>0</v>
      </c>
      <c r="M19" s="167">
        <f t="shared" si="3"/>
        <v>0</v>
      </c>
    </row>
    <row r="20" spans="3:13" ht="15" thickBot="1" x14ac:dyDescent="0.35">
      <c r="C20" s="164" t="s">
        <v>3</v>
      </c>
      <c r="D20" s="165" t="s">
        <v>448</v>
      </c>
      <c r="E20" s="167">
        <v>1.1000000000000001</v>
      </c>
      <c r="F20" s="167">
        <v>0.22</v>
      </c>
      <c r="G20" s="167">
        <v>0</v>
      </c>
      <c r="H20" s="167"/>
      <c r="I20" s="167">
        <v>0.06</v>
      </c>
      <c r="J20" s="167">
        <f t="shared" si="4"/>
        <v>0</v>
      </c>
      <c r="K20" s="167">
        <f t="shared" si="5"/>
        <v>0</v>
      </c>
      <c r="L20" s="167">
        <f t="shared" si="6"/>
        <v>0</v>
      </c>
      <c r="M20" s="167">
        <f t="shared" si="3"/>
        <v>0</v>
      </c>
    </row>
    <row r="21" spans="3:13" ht="15" thickBot="1" x14ac:dyDescent="0.35">
      <c r="C21" s="164" t="s">
        <v>3</v>
      </c>
      <c r="D21" s="166" t="s">
        <v>171</v>
      </c>
      <c r="E21" s="167">
        <v>2.5</v>
      </c>
      <c r="F21" s="167">
        <v>0.22</v>
      </c>
      <c r="G21" s="167">
        <v>8</v>
      </c>
      <c r="H21" s="167"/>
      <c r="I21" s="167">
        <v>0.12</v>
      </c>
      <c r="J21" s="167">
        <f t="shared" si="4"/>
        <v>20</v>
      </c>
      <c r="K21" s="167">
        <f t="shared" si="5"/>
        <v>1.76</v>
      </c>
      <c r="L21" s="167">
        <f t="shared" si="6"/>
        <v>8</v>
      </c>
      <c r="M21" s="167">
        <f t="shared" si="3"/>
        <v>0.96</v>
      </c>
    </row>
    <row r="22" spans="3:13" ht="15" thickBot="1" x14ac:dyDescent="0.35">
      <c r="C22" s="164" t="s">
        <v>446</v>
      </c>
      <c r="D22" s="166" t="s">
        <v>128</v>
      </c>
      <c r="E22" s="167">
        <v>1</v>
      </c>
      <c r="F22" s="167">
        <v>0.22</v>
      </c>
      <c r="G22" s="167">
        <v>0</v>
      </c>
      <c r="H22" s="167"/>
      <c r="I22" s="167">
        <v>0.06</v>
      </c>
      <c r="J22" s="167">
        <f t="shared" si="4"/>
        <v>0</v>
      </c>
      <c r="K22" s="167">
        <f t="shared" si="5"/>
        <v>0</v>
      </c>
      <c r="L22" s="167">
        <f t="shared" si="6"/>
        <v>0</v>
      </c>
      <c r="M22" s="167">
        <f t="shared" si="3"/>
        <v>0</v>
      </c>
    </row>
    <row r="23" spans="3:13" ht="15" thickBot="1" x14ac:dyDescent="0.35">
      <c r="C23" s="164" t="s">
        <v>3</v>
      </c>
      <c r="D23" s="165" t="s">
        <v>448</v>
      </c>
      <c r="E23" s="167">
        <v>1.1000000000000001</v>
      </c>
      <c r="F23" s="167">
        <v>0.1</v>
      </c>
      <c r="G23" s="167">
        <v>0</v>
      </c>
      <c r="H23" s="167"/>
      <c r="I23" s="167">
        <v>0.06</v>
      </c>
      <c r="J23" s="167">
        <f t="shared" si="4"/>
        <v>0</v>
      </c>
      <c r="K23" s="167">
        <f t="shared" si="5"/>
        <v>0</v>
      </c>
      <c r="L23" s="167">
        <f t="shared" si="6"/>
        <v>0</v>
      </c>
      <c r="M23" s="167">
        <f t="shared" si="3"/>
        <v>0</v>
      </c>
    </row>
    <row r="24" spans="3:13" ht="15" thickBot="1" x14ac:dyDescent="0.35">
      <c r="C24" s="164" t="s">
        <v>3</v>
      </c>
      <c r="D24" s="166" t="s">
        <v>171</v>
      </c>
      <c r="E24" s="167">
        <v>2.5</v>
      </c>
      <c r="F24" s="167">
        <v>0.1</v>
      </c>
      <c r="G24" s="167">
        <v>0</v>
      </c>
      <c r="H24" s="167"/>
      <c r="I24" s="167">
        <v>0.12</v>
      </c>
      <c r="J24" s="167">
        <f t="shared" si="4"/>
        <v>0</v>
      </c>
      <c r="K24" s="167">
        <f t="shared" si="5"/>
        <v>0</v>
      </c>
      <c r="L24" s="167">
        <f t="shared" si="6"/>
        <v>0</v>
      </c>
      <c r="M24" s="167">
        <f t="shared" si="3"/>
        <v>0</v>
      </c>
    </row>
    <row r="25" spans="3:13" ht="15" thickBot="1" x14ac:dyDescent="0.35">
      <c r="C25" s="164" t="s">
        <v>432</v>
      </c>
      <c r="D25" s="166" t="s">
        <v>128</v>
      </c>
      <c r="E25" s="167">
        <v>1</v>
      </c>
      <c r="F25" s="167">
        <v>0.22</v>
      </c>
      <c r="G25" s="167">
        <v>0</v>
      </c>
      <c r="H25" s="167"/>
      <c r="I25" s="167">
        <v>0.06</v>
      </c>
      <c r="J25" s="167">
        <f t="shared" si="4"/>
        <v>0</v>
      </c>
      <c r="K25" s="167">
        <f t="shared" si="5"/>
        <v>0</v>
      </c>
      <c r="L25" s="167">
        <f t="shared" si="6"/>
        <v>0</v>
      </c>
      <c r="M25" s="167">
        <f t="shared" si="3"/>
        <v>0</v>
      </c>
    </row>
    <row r="26" spans="3:13" ht="15" thickBot="1" x14ac:dyDescent="0.35">
      <c r="C26" s="164" t="s">
        <v>3</v>
      </c>
      <c r="D26" s="165" t="s">
        <v>448</v>
      </c>
      <c r="E26" s="167">
        <v>1.1000000000000001</v>
      </c>
      <c r="F26" s="167">
        <v>0.22</v>
      </c>
      <c r="G26" s="167">
        <v>0</v>
      </c>
      <c r="H26" s="167"/>
      <c r="I26" s="167">
        <v>0.06</v>
      </c>
      <c r="J26" s="167">
        <f t="shared" si="4"/>
        <v>0</v>
      </c>
      <c r="K26" s="167">
        <f t="shared" si="5"/>
        <v>0</v>
      </c>
      <c r="L26" s="167">
        <f t="shared" si="6"/>
        <v>0</v>
      </c>
      <c r="M26" s="167">
        <f t="shared" si="3"/>
        <v>0</v>
      </c>
    </row>
    <row r="27" spans="3:13" ht="15" thickBot="1" x14ac:dyDescent="0.35">
      <c r="C27" s="164" t="s">
        <v>3</v>
      </c>
      <c r="D27" s="166" t="s">
        <v>171</v>
      </c>
      <c r="E27" s="167">
        <v>2.5</v>
      </c>
      <c r="F27" s="167">
        <v>0.1</v>
      </c>
      <c r="G27" s="167">
        <v>3</v>
      </c>
      <c r="H27" s="167"/>
      <c r="I27" s="167">
        <v>0.12</v>
      </c>
      <c r="J27" s="167">
        <f t="shared" si="4"/>
        <v>7.5</v>
      </c>
      <c r="K27" s="167">
        <f t="shared" si="5"/>
        <v>0.30000000000000004</v>
      </c>
      <c r="L27" s="167">
        <f t="shared" si="6"/>
        <v>3</v>
      </c>
      <c r="M27" s="167">
        <f t="shared" si="3"/>
        <v>0.36</v>
      </c>
    </row>
    <row r="28" spans="3:13" ht="15" thickBot="1" x14ac:dyDescent="0.35">
      <c r="C28" s="164" t="s">
        <v>448</v>
      </c>
      <c r="D28" s="166" t="s">
        <v>128</v>
      </c>
      <c r="E28" s="167">
        <v>1</v>
      </c>
      <c r="F28" s="167">
        <v>0.22</v>
      </c>
      <c r="G28" s="167">
        <v>12</v>
      </c>
      <c r="H28" s="167">
        <v>2</v>
      </c>
      <c r="I28" s="167">
        <v>0.06</v>
      </c>
      <c r="J28" s="167">
        <f t="shared" si="4"/>
        <v>12</v>
      </c>
      <c r="K28" s="167">
        <f t="shared" si="5"/>
        <v>2.64</v>
      </c>
      <c r="L28" s="167">
        <f t="shared" si="6"/>
        <v>12</v>
      </c>
      <c r="M28" s="167">
        <f t="shared" si="3"/>
        <v>2.7199999999999998</v>
      </c>
    </row>
    <row r="29" spans="3:13" ht="15" thickBot="1" x14ac:dyDescent="0.35">
      <c r="C29" s="164" t="s">
        <v>3</v>
      </c>
      <c r="D29" s="165" t="s">
        <v>448</v>
      </c>
      <c r="E29" s="167">
        <v>1.1000000000000001</v>
      </c>
      <c r="F29" s="167">
        <v>0.22</v>
      </c>
      <c r="G29" s="167">
        <v>0</v>
      </c>
      <c r="H29" s="167">
        <v>0</v>
      </c>
      <c r="I29" s="167">
        <v>0.06</v>
      </c>
      <c r="J29" s="167">
        <f t="shared" si="4"/>
        <v>0</v>
      </c>
      <c r="K29" s="167">
        <f t="shared" si="5"/>
        <v>0</v>
      </c>
      <c r="L29" s="167">
        <f t="shared" si="6"/>
        <v>0</v>
      </c>
      <c r="M29" s="167">
        <f t="shared" si="3"/>
        <v>0</v>
      </c>
    </row>
    <row r="30" spans="3:13" ht="15" thickBot="1" x14ac:dyDescent="0.35">
      <c r="C30" s="164" t="s">
        <v>3</v>
      </c>
      <c r="D30" s="166" t="s">
        <v>171</v>
      </c>
      <c r="E30" s="167">
        <v>2.5</v>
      </c>
      <c r="F30" s="167">
        <v>0.1</v>
      </c>
      <c r="G30" s="167">
        <v>10</v>
      </c>
      <c r="H30" s="167">
        <v>2</v>
      </c>
      <c r="I30" s="167">
        <v>0.12</v>
      </c>
      <c r="J30" s="167">
        <f t="shared" si="4"/>
        <v>25</v>
      </c>
      <c r="K30" s="167">
        <f t="shared" si="5"/>
        <v>1</v>
      </c>
      <c r="L30" s="167">
        <f t="shared" si="6"/>
        <v>10</v>
      </c>
      <c r="M30" s="167">
        <f t="shared" si="3"/>
        <v>3.2</v>
      </c>
    </row>
    <row r="31" spans="3:13" ht="15" thickBot="1" x14ac:dyDescent="0.35">
      <c r="C31" s="164" t="s">
        <v>449</v>
      </c>
      <c r="D31" s="166" t="s">
        <v>128</v>
      </c>
      <c r="E31" s="167">
        <v>1</v>
      </c>
      <c r="F31" s="167">
        <v>0.22</v>
      </c>
      <c r="G31" s="167">
        <v>0</v>
      </c>
      <c r="H31" s="167"/>
      <c r="I31" s="167">
        <v>-0.06</v>
      </c>
      <c r="J31" s="167">
        <f>G31*E31</f>
        <v>0</v>
      </c>
      <c r="K31" s="167">
        <f>G31*F31</f>
        <v>0</v>
      </c>
      <c r="L31" s="167">
        <f>G31</f>
        <v>0</v>
      </c>
      <c r="M31" s="167">
        <f>IF(G31=0,0,H31+I31*G31)</f>
        <v>0</v>
      </c>
    </row>
    <row r="32" spans="3:13" ht="15" thickBot="1" x14ac:dyDescent="0.35">
      <c r="C32" s="164" t="s">
        <v>3</v>
      </c>
      <c r="D32" s="165" t="s">
        <v>448</v>
      </c>
      <c r="E32" s="167">
        <v>1.1000000000000001</v>
      </c>
      <c r="F32" s="167">
        <v>0.22</v>
      </c>
      <c r="G32" s="167">
        <v>0</v>
      </c>
      <c r="H32" s="167"/>
      <c r="I32" s="167">
        <v>-0.06</v>
      </c>
      <c r="J32" s="167">
        <f t="shared" ref="J32:J33" si="7">G32*E32</f>
        <v>0</v>
      </c>
      <c r="K32" s="167">
        <f t="shared" ref="K32:K33" si="8">G32*F32</f>
        <v>0</v>
      </c>
      <c r="L32" s="167">
        <f t="shared" ref="L32" si="9">G32</f>
        <v>0</v>
      </c>
      <c r="M32" s="167">
        <f>IF(G32=0,0,H32+I32*G32)</f>
        <v>0</v>
      </c>
    </row>
    <row r="33" spans="3:14" ht="15" thickBot="1" x14ac:dyDescent="0.35">
      <c r="C33" s="164" t="s">
        <v>3</v>
      </c>
      <c r="D33" s="166" t="s">
        <v>171</v>
      </c>
      <c r="E33" s="167">
        <v>2.5</v>
      </c>
      <c r="F33" s="167">
        <v>0.08</v>
      </c>
      <c r="G33" s="167">
        <v>2</v>
      </c>
      <c r="H33" s="167">
        <v>0.1</v>
      </c>
      <c r="I33" s="167">
        <v>-0.48</v>
      </c>
      <c r="J33" s="167">
        <f t="shared" si="7"/>
        <v>5</v>
      </c>
      <c r="K33" s="167">
        <f t="shared" si="8"/>
        <v>0.16</v>
      </c>
      <c r="L33" s="167">
        <v>2</v>
      </c>
      <c r="M33" s="167">
        <v>0.1</v>
      </c>
    </row>
    <row r="35" spans="3:14" x14ac:dyDescent="0.3">
      <c r="H35" s="196">
        <f>SUM(H10:H29)+SUM(H31:H33)</f>
        <v>2.1</v>
      </c>
      <c r="J35" s="196">
        <f>SUM(J10:J29)+SUM(J31:J33)</f>
        <v>72.5</v>
      </c>
      <c r="K35" s="196">
        <f>SUM(K10:K29)+SUM(K31:K33)</f>
        <v>8.32</v>
      </c>
      <c r="L35" s="196">
        <f>SUM(L10:L29)-SUM(L31:L33)</f>
        <v>40</v>
      </c>
      <c r="M35" s="197">
        <f>SUM(M10:M29)-SUM(M31:M33)</f>
        <v>5.4399999999999995</v>
      </c>
      <c r="N35" t="s">
        <v>462</v>
      </c>
    </row>
    <row r="36" spans="3:14" x14ac:dyDescent="0.3">
      <c r="H36" s="204"/>
      <c r="I36" t="s">
        <v>473</v>
      </c>
      <c r="K36" s="204">
        <f>K12+K15+K21+K24+K27-K33</f>
        <v>2</v>
      </c>
      <c r="L36" s="204">
        <f>L12+L15+L21+L24+L27-L33</f>
        <v>10</v>
      </c>
      <c r="M36" s="204">
        <f>M12+M15+M21+M24+M27+M33</f>
        <v>1.54</v>
      </c>
      <c r="N36" t="s">
        <v>462</v>
      </c>
    </row>
    <row r="37" spans="3:14" x14ac:dyDescent="0.3">
      <c r="H37" s="204"/>
      <c r="I37" t="s">
        <v>474</v>
      </c>
      <c r="K37">
        <f>K30</f>
        <v>1</v>
      </c>
      <c r="L37">
        <f>L30</f>
        <v>10</v>
      </c>
      <c r="M37">
        <f>M30</f>
        <v>3.2</v>
      </c>
      <c r="N37" t="s">
        <v>462</v>
      </c>
    </row>
    <row r="38" spans="3:14" x14ac:dyDescent="0.3">
      <c r="H38" s="204"/>
      <c r="I38" t="s">
        <v>471</v>
      </c>
      <c r="K38">
        <f>K10+K11+K13+K14+K16+K17+K19+K20+K22+K23+K25+K26-K31-K32</f>
        <v>2.8600000000000003</v>
      </c>
      <c r="L38">
        <f>L10+L11+L13+L14+L16+L17+L19+L20+L22+L23+L25+L26-L31-L32</f>
        <v>13</v>
      </c>
      <c r="M38">
        <f>M10+M11+M13+M14+M16+M17+M19+M20+M22+M23+M25+M26+M31+M32</f>
        <v>0.78</v>
      </c>
      <c r="N38" t="s">
        <v>462</v>
      </c>
    </row>
    <row r="39" spans="3:14" x14ac:dyDescent="0.3">
      <c r="H39" s="204"/>
      <c r="I39" t="s">
        <v>472</v>
      </c>
      <c r="K39">
        <f>K28+K29</f>
        <v>2.64</v>
      </c>
      <c r="L39">
        <f>L28+L29</f>
        <v>12</v>
      </c>
      <c r="M39">
        <f>M28+M29</f>
        <v>2.7199999999999998</v>
      </c>
      <c r="N39" t="s">
        <v>462</v>
      </c>
    </row>
    <row r="40" spans="3:14" x14ac:dyDescent="0.3">
      <c r="K40" t="s">
        <v>485</v>
      </c>
      <c r="L40" s="141" t="s">
        <v>479</v>
      </c>
      <c r="M40" s="141" t="s">
        <v>462</v>
      </c>
    </row>
  </sheetData>
  <customSheetViews>
    <customSheetView guid="{A466747D-BC11-4359-8DB2-79FDF5927363}" hiddenRows="1" topLeftCell="C13">
      <selection activeCell="M36" sqref="M36"/>
      <pageMargins left="0.7" right="0.7" top="0.75" bottom="0.75" header="0.3" footer="0.3"/>
      <pageSetup paperSize="9" orientation="portrait" r:id="rId1"/>
    </customSheetView>
    <customSheetView guid="{076EF5BB-A6AA-4ACD-9CF4-82C37E85D83C}" hiddenRows="1" topLeftCell="C28">
      <selection activeCell="M33" sqref="M33"/>
      <pageMargins left="0.7" right="0.7" top="0.75" bottom="0.75" header="0.3" footer="0.3"/>
      <pageSetup paperSize="9" orientation="portrait" r:id="rId2"/>
    </customSheetView>
    <customSheetView guid="{6774CEDA-A5AA-4ECD-96FF-5AD648D47675}" hiddenRows="1" topLeftCell="A6">
      <selection activeCell="M10" sqref="M10"/>
      <pageMargins left="0.7" right="0.7" top="0.75" bottom="0.75" header="0.3" footer="0.3"/>
      <pageSetup paperSize="9" orientation="portrait" r:id="rId3"/>
    </customSheetView>
    <customSheetView guid="{519414D7-B194-4B83-AA2D-520F5FD85EC7}" hiddenRows="1" topLeftCell="C13">
      <selection activeCell="M36" sqref="M36"/>
      <pageMargins left="0.7" right="0.7" top="0.75" bottom="0.75" header="0.3" footer="0.3"/>
      <pageSetup paperSize="9" orientation="portrait" r:id="rId4"/>
    </customSheetView>
  </customSheetViews>
  <mergeCells count="9">
    <mergeCell ref="I7:I8"/>
    <mergeCell ref="J7:J8"/>
    <mergeCell ref="K7:K8"/>
    <mergeCell ref="C7:C8"/>
    <mergeCell ref="D7:D8"/>
    <mergeCell ref="E7:E8"/>
    <mergeCell ref="F7:F8"/>
    <mergeCell ref="G7:G8"/>
    <mergeCell ref="H7:H8"/>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0"/>
  <sheetViews>
    <sheetView topLeftCell="AY1" workbookViewId="0">
      <pane ySplit="1" topLeftCell="A2" activePane="bottomLeft" state="frozen"/>
      <selection activeCell="AY1" sqref="AY1"/>
      <selection pane="bottomLeft" activeCell="BI12" sqref="BI12"/>
    </sheetView>
  </sheetViews>
  <sheetFormatPr baseColWidth="10" defaultColWidth="11.44140625" defaultRowHeight="14.4" x14ac:dyDescent="0.3"/>
  <cols>
    <col min="1" max="1" width="22" customWidth="1"/>
    <col min="2" max="2" width="23.5546875" customWidth="1"/>
    <col min="5" max="5" width="13" customWidth="1"/>
    <col min="6" max="6" width="11.6640625" customWidth="1"/>
    <col min="7" max="7" width="12.6640625" customWidth="1"/>
    <col min="8" max="26" width="13.44140625" bestFit="1" customWidth="1"/>
    <col min="27" max="27" width="14.44140625" bestFit="1" customWidth="1"/>
    <col min="28" max="46" width="13.44140625" bestFit="1" customWidth="1"/>
    <col min="47" max="47" width="14.44140625" bestFit="1" customWidth="1"/>
    <col min="48" max="57" width="13.44140625" bestFit="1" customWidth="1"/>
    <col min="63" max="63" width="13.88671875" customWidth="1"/>
    <col min="64" max="64" width="16" customWidth="1"/>
  </cols>
  <sheetData>
    <row r="1" spans="1:67" ht="28.8" x14ac:dyDescent="0.3">
      <c r="A1" s="205" t="s">
        <v>475</v>
      </c>
      <c r="B1" s="205">
        <v>8760</v>
      </c>
      <c r="C1" s="205" t="s">
        <v>476</v>
      </c>
      <c r="F1" s="3"/>
      <c r="G1" s="119" t="s">
        <v>1</v>
      </c>
      <c r="H1" s="4">
        <v>1</v>
      </c>
      <c r="I1" s="4">
        <f>1+H1</f>
        <v>2</v>
      </c>
      <c r="J1" s="4">
        <f t="shared" ref="J1:BE1" si="0">1+I1</f>
        <v>3</v>
      </c>
      <c r="K1" s="4">
        <f t="shared" si="0"/>
        <v>4</v>
      </c>
      <c r="L1">
        <f t="shared" si="0"/>
        <v>5</v>
      </c>
      <c r="M1">
        <f t="shared" si="0"/>
        <v>6</v>
      </c>
      <c r="N1">
        <f t="shared" si="0"/>
        <v>7</v>
      </c>
      <c r="O1">
        <f t="shared" si="0"/>
        <v>8</v>
      </c>
      <c r="P1">
        <f t="shared" si="0"/>
        <v>9</v>
      </c>
      <c r="Q1">
        <f t="shared" si="0"/>
        <v>10</v>
      </c>
      <c r="R1">
        <f t="shared" si="0"/>
        <v>11</v>
      </c>
      <c r="S1">
        <f t="shared" si="0"/>
        <v>12</v>
      </c>
      <c r="T1">
        <f t="shared" si="0"/>
        <v>13</v>
      </c>
      <c r="U1">
        <f t="shared" si="0"/>
        <v>14</v>
      </c>
      <c r="V1">
        <f t="shared" si="0"/>
        <v>15</v>
      </c>
      <c r="W1">
        <f t="shared" si="0"/>
        <v>16</v>
      </c>
      <c r="X1">
        <f t="shared" si="0"/>
        <v>17</v>
      </c>
      <c r="Y1">
        <f t="shared" si="0"/>
        <v>18</v>
      </c>
      <c r="Z1">
        <f t="shared" si="0"/>
        <v>19</v>
      </c>
      <c r="AA1">
        <f t="shared" si="0"/>
        <v>20</v>
      </c>
      <c r="AB1">
        <f t="shared" si="0"/>
        <v>21</v>
      </c>
      <c r="AC1">
        <f t="shared" si="0"/>
        <v>22</v>
      </c>
      <c r="AD1">
        <f t="shared" si="0"/>
        <v>23</v>
      </c>
      <c r="AE1">
        <f t="shared" si="0"/>
        <v>24</v>
      </c>
      <c r="AF1">
        <f t="shared" si="0"/>
        <v>25</v>
      </c>
      <c r="AG1">
        <f t="shared" si="0"/>
        <v>26</v>
      </c>
      <c r="AH1">
        <f t="shared" si="0"/>
        <v>27</v>
      </c>
      <c r="AI1">
        <f t="shared" si="0"/>
        <v>28</v>
      </c>
      <c r="AJ1">
        <f t="shared" si="0"/>
        <v>29</v>
      </c>
      <c r="AK1">
        <f t="shared" si="0"/>
        <v>30</v>
      </c>
      <c r="AL1">
        <f t="shared" si="0"/>
        <v>31</v>
      </c>
      <c r="AM1">
        <f t="shared" si="0"/>
        <v>32</v>
      </c>
      <c r="AN1">
        <f t="shared" si="0"/>
        <v>33</v>
      </c>
      <c r="AO1">
        <f t="shared" si="0"/>
        <v>34</v>
      </c>
      <c r="AP1">
        <f t="shared" si="0"/>
        <v>35</v>
      </c>
      <c r="AQ1">
        <f t="shared" si="0"/>
        <v>36</v>
      </c>
      <c r="AR1">
        <f t="shared" si="0"/>
        <v>37</v>
      </c>
      <c r="AS1">
        <f t="shared" si="0"/>
        <v>38</v>
      </c>
      <c r="AT1">
        <f t="shared" si="0"/>
        <v>39</v>
      </c>
      <c r="AU1">
        <f t="shared" si="0"/>
        <v>40</v>
      </c>
      <c r="AV1">
        <f t="shared" si="0"/>
        <v>41</v>
      </c>
      <c r="AW1">
        <f t="shared" si="0"/>
        <v>42</v>
      </c>
      <c r="AX1">
        <f t="shared" si="0"/>
        <v>43</v>
      </c>
      <c r="AY1">
        <f t="shared" si="0"/>
        <v>44</v>
      </c>
      <c r="AZ1">
        <f t="shared" si="0"/>
        <v>45</v>
      </c>
      <c r="BA1">
        <f t="shared" si="0"/>
        <v>46</v>
      </c>
      <c r="BB1">
        <f t="shared" si="0"/>
        <v>47</v>
      </c>
      <c r="BC1">
        <f t="shared" si="0"/>
        <v>48</v>
      </c>
      <c r="BD1">
        <f t="shared" si="0"/>
        <v>49</v>
      </c>
      <c r="BE1">
        <f t="shared" si="0"/>
        <v>50</v>
      </c>
      <c r="BF1" s="199" t="s">
        <v>467</v>
      </c>
      <c r="BG1" s="198" t="s">
        <v>465</v>
      </c>
      <c r="BH1" s="198" t="s">
        <v>466</v>
      </c>
      <c r="BI1" s="198" t="s">
        <v>463</v>
      </c>
      <c r="BJ1" s="200" t="s">
        <v>464</v>
      </c>
      <c r="BK1" s="201" t="s">
        <v>469</v>
      </c>
      <c r="BL1" s="198" t="s">
        <v>468</v>
      </c>
    </row>
    <row r="2" spans="1:67" ht="28.8" x14ac:dyDescent="0.3">
      <c r="B2" t="s">
        <v>0</v>
      </c>
      <c r="C2" t="s">
        <v>5</v>
      </c>
      <c r="D2" t="s">
        <v>2</v>
      </c>
      <c r="E2" s="1" t="s">
        <v>8</v>
      </c>
      <c r="F2" s="120" t="s">
        <v>6</v>
      </c>
      <c r="G2" s="119" t="s">
        <v>443</v>
      </c>
      <c r="H2">
        <f t="shared" ref="H2:AM2" si="1">((1+Inflation_products)/(1+Discount_rate))^(1+H1)</f>
        <v>1.0268711596179279</v>
      </c>
      <c r="I2">
        <f t="shared" si="1"/>
        <v>1.0405763110315136</v>
      </c>
      <c r="J2">
        <f t="shared" si="1"/>
        <v>1.0544643784550678</v>
      </c>
      <c r="K2">
        <f t="shared" si="1"/>
        <v>1.0685378031798758</v>
      </c>
      <c r="L2">
        <f t="shared" si="1"/>
        <v>1.082799059079953</v>
      </c>
      <c r="M2">
        <f t="shared" si="1"/>
        <v>1.0972506530469124</v>
      </c>
      <c r="N2">
        <f t="shared" si="1"/>
        <v>1.1118951254306324</v>
      </c>
      <c r="O2">
        <f t="shared" si="1"/>
        <v>1.1267350504858114</v>
      </c>
      <c r="P2">
        <f t="shared" si="1"/>
        <v>1.1417730368244747</v>
      </c>
      <c r="Q2">
        <f t="shared" si="1"/>
        <v>1.1570117278745295</v>
      </c>
      <c r="R2">
        <f t="shared" si="1"/>
        <v>1.1724538023444315</v>
      </c>
      <c r="S2">
        <f t="shared" si="1"/>
        <v>1.1881019746940604</v>
      </c>
      <c r="T2">
        <f t="shared" si="1"/>
        <v>1.203958995611875</v>
      </c>
      <c r="U2">
        <f t="shared" si="1"/>
        <v>1.2200276524984399</v>
      </c>
      <c r="V2">
        <f t="shared" si="1"/>
        <v>1.2363107699564018</v>
      </c>
      <c r="W2">
        <f t="shared" si="1"/>
        <v>1.252811210287011</v>
      </c>
      <c r="X2">
        <f t="shared" si="1"/>
        <v>1.2695318739932635</v>
      </c>
      <c r="Y2">
        <f t="shared" si="1"/>
        <v>1.2864757002897629</v>
      </c>
      <c r="Z2">
        <f t="shared" si="1"/>
        <v>1.3036456676193835</v>
      </c>
      <c r="AA2">
        <f t="shared" si="1"/>
        <v>1.3210447941768344</v>
      </c>
      <c r="AB2">
        <f t="shared" si="1"/>
        <v>1.3386761384392041</v>
      </c>
      <c r="AC2">
        <f t="shared" si="1"/>
        <v>1.3565427997035928</v>
      </c>
      <c r="AD2">
        <f t="shared" si="1"/>
        <v>1.3746479186319152</v>
      </c>
      <c r="AE2">
        <f t="shared" si="1"/>
        <v>1.3929946778029787</v>
      </c>
      <c r="AF2">
        <f t="shared" si="1"/>
        <v>1.4115863022719255</v>
      </c>
      <c r="AG2">
        <f t="shared" si="1"/>
        <v>1.4304260601371463</v>
      </c>
      <c r="AH2">
        <f t="shared" si="1"/>
        <v>1.449517263114755</v>
      </c>
      <c r="AI2">
        <f t="shared" si="1"/>
        <v>1.4688632671207351</v>
      </c>
      <c r="AJ2">
        <f t="shared" si="1"/>
        <v>1.4884674728608533</v>
      </c>
      <c r="AK2">
        <f t="shared" si="1"/>
        <v>1.5083333264284475</v>
      </c>
      <c r="AL2">
        <f t="shared" si="1"/>
        <v>1.528464319910191</v>
      </c>
      <c r="AM2">
        <f t="shared" si="1"/>
        <v>1.5488639919999463</v>
      </c>
      <c r="AN2">
        <f t="shared" ref="AN2:BE2" si="2">((1+Inflation_products)/(1+Discount_rate))^(1+AN1)</f>
        <v>1.5695359286208053</v>
      </c>
      <c r="AO2">
        <f t="shared" si="2"/>
        <v>1.5904837635554379</v>
      </c>
      <c r="AP2">
        <f t="shared" si="2"/>
        <v>1.6117111790848475</v>
      </c>
      <c r="AQ2">
        <f t="shared" si="2"/>
        <v>1.6332219066356584</v>
      </c>
      <c r="AR2">
        <f t="shared" si="2"/>
        <v>1.6550197274360352</v>
      </c>
      <c r="AS2">
        <f t="shared" si="2"/>
        <v>1.6771084731803618</v>
      </c>
      <c r="AT2">
        <f t="shared" si="2"/>
        <v>1.6994920267027882</v>
      </c>
      <c r="AU2">
        <f t="shared" si="2"/>
        <v>1.7221743226597703</v>
      </c>
      <c r="AV2">
        <f t="shared" si="2"/>
        <v>1.7451593482217143</v>
      </c>
      <c r="AW2">
        <f t="shared" si="2"/>
        <v>1.7684511437738579</v>
      </c>
      <c r="AX2">
        <f t="shared" si="2"/>
        <v>1.792053803626499</v>
      </c>
      <c r="AY2">
        <f t="shared" si="2"/>
        <v>1.8159714767347122</v>
      </c>
      <c r="AZ2">
        <f t="shared" si="2"/>
        <v>1.8402083674276613</v>
      </c>
      <c r="BA2">
        <f t="shared" si="2"/>
        <v>1.8647687361476548</v>
      </c>
      <c r="BB2">
        <f t="shared" si="2"/>
        <v>1.8896569001990562</v>
      </c>
      <c r="BC2">
        <f t="shared" si="2"/>
        <v>1.9148772345071996</v>
      </c>
      <c r="BD2">
        <f t="shared" si="2"/>
        <v>1.9404341723874239</v>
      </c>
      <c r="BE2">
        <f t="shared" si="2"/>
        <v>1.9663322063243791</v>
      </c>
      <c r="BI2" s="116"/>
      <c r="BJ2" s="124"/>
      <c r="BK2" s="202">
        <f>Calculation_Period</f>
        <v>50</v>
      </c>
    </row>
    <row r="3" spans="1:67" x14ac:dyDescent="0.3">
      <c r="F3" s="3" t="s">
        <v>423</v>
      </c>
      <c r="G3" s="145"/>
      <c r="BG3" s="116">
        <f t="shared" ref="BG3:BI9" si="3">SUM(E3:BD3)</f>
        <v>0</v>
      </c>
      <c r="BH3" s="116">
        <f t="shared" si="3"/>
        <v>0</v>
      </c>
      <c r="BI3" s="116">
        <f t="shared" si="3"/>
        <v>0</v>
      </c>
      <c r="BJ3" s="124"/>
      <c r="BK3" s="123"/>
    </row>
    <row r="4" spans="1:67" ht="25.8" x14ac:dyDescent="0.5">
      <c r="A4" t="s">
        <v>4</v>
      </c>
      <c r="C4">
        <v>1</v>
      </c>
      <c r="F4" s="3">
        <v>1865</v>
      </c>
      <c r="G4" s="145">
        <f t="shared" ref="G4:G27" si="4">F4*C4</f>
        <v>1865</v>
      </c>
      <c r="BG4" s="116">
        <f>SUM($G4:$BE4)</f>
        <v>1865</v>
      </c>
      <c r="BH4" s="116">
        <f>SUM($G4:$BE4)</f>
        <v>1865</v>
      </c>
      <c r="BI4" s="116">
        <f>SUM($G4:$BE4)</f>
        <v>1865</v>
      </c>
      <c r="BJ4" s="124"/>
      <c r="BK4" s="215"/>
      <c r="BN4" s="116" t="s">
        <v>88</v>
      </c>
      <c r="BO4" s="116"/>
    </row>
    <row r="5" spans="1:67" x14ac:dyDescent="0.3">
      <c r="A5" t="s">
        <v>413</v>
      </c>
      <c r="C5">
        <v>1</v>
      </c>
      <c r="F5" s="3">
        <f>365+135+207+33+44</f>
        <v>784</v>
      </c>
      <c r="G5" s="145">
        <f t="shared" si="4"/>
        <v>784</v>
      </c>
      <c r="BG5" s="116">
        <f t="shared" ref="BG5:BI8" si="5">SUM(E5:BC5)</f>
        <v>1568</v>
      </c>
      <c r="BH5" s="116">
        <f t="shared" si="5"/>
        <v>1568</v>
      </c>
      <c r="BI5" s="116">
        <f t="shared" si="5"/>
        <v>784</v>
      </c>
      <c r="BJ5" s="124"/>
      <c r="BK5" s="216"/>
      <c r="BN5" s="116">
        <f>SUM(BI3:BI27)</f>
        <v>56445.931831159134</v>
      </c>
      <c r="BO5" s="116"/>
    </row>
    <row r="6" spans="1:67" x14ac:dyDescent="0.3">
      <c r="A6" t="s">
        <v>426</v>
      </c>
      <c r="C6">
        <v>1</v>
      </c>
      <c r="F6" s="3">
        <v>333</v>
      </c>
      <c r="G6" s="145">
        <f t="shared" si="4"/>
        <v>333</v>
      </c>
      <c r="BG6" s="116">
        <f t="shared" si="5"/>
        <v>666</v>
      </c>
      <c r="BH6" s="116">
        <f t="shared" si="5"/>
        <v>666</v>
      </c>
      <c r="BI6" s="116">
        <f t="shared" si="5"/>
        <v>333</v>
      </c>
      <c r="BJ6" s="124"/>
      <c r="BK6" s="123"/>
    </row>
    <row r="7" spans="1:67" x14ac:dyDescent="0.3">
      <c r="A7" t="s">
        <v>69</v>
      </c>
      <c r="C7">
        <v>1</v>
      </c>
      <c r="F7" s="3">
        <f>318+52+34+12+29+37</f>
        <v>482</v>
      </c>
      <c r="G7" s="145">
        <f t="shared" si="4"/>
        <v>482</v>
      </c>
      <c r="BG7" s="116">
        <f t="shared" si="5"/>
        <v>964</v>
      </c>
      <c r="BH7" s="116">
        <f t="shared" si="5"/>
        <v>964</v>
      </c>
      <c r="BI7" s="116">
        <f t="shared" si="5"/>
        <v>482</v>
      </c>
      <c r="BJ7" s="124"/>
      <c r="BK7" s="123"/>
      <c r="BN7" s="118" t="s">
        <v>85</v>
      </c>
      <c r="BO7" s="118"/>
    </row>
    <row r="8" spans="1:67" x14ac:dyDescent="0.3">
      <c r="A8" t="s">
        <v>68</v>
      </c>
      <c r="C8">
        <v>1</v>
      </c>
      <c r="F8" s="3">
        <v>39</v>
      </c>
      <c r="G8" s="145">
        <f t="shared" si="4"/>
        <v>39</v>
      </c>
      <c r="BG8" s="116">
        <f t="shared" si="5"/>
        <v>78</v>
      </c>
      <c r="BH8" s="116">
        <f t="shared" si="5"/>
        <v>78</v>
      </c>
      <c r="BI8" s="116">
        <f t="shared" si="5"/>
        <v>39</v>
      </c>
      <c r="BJ8" s="124"/>
      <c r="BK8" s="123"/>
      <c r="BN8" s="118">
        <f>SUM(BI38:BI42)</f>
        <v>22418.799317412526</v>
      </c>
      <c r="BO8" s="118"/>
    </row>
    <row r="9" spans="1:67" x14ac:dyDescent="0.3">
      <c r="A9" t="s">
        <v>488</v>
      </c>
      <c r="F9" s="3"/>
      <c r="G9" s="114">
        <f t="shared" si="4"/>
        <v>0</v>
      </c>
      <c r="BG9" s="116">
        <f t="shared" si="3"/>
        <v>0</v>
      </c>
      <c r="BH9" s="116">
        <f t="shared" si="3"/>
        <v>0</v>
      </c>
      <c r="BI9" s="116">
        <f t="shared" si="3"/>
        <v>0</v>
      </c>
      <c r="BJ9" s="124"/>
      <c r="BK9" s="123"/>
    </row>
    <row r="10" spans="1:67" x14ac:dyDescent="0.3">
      <c r="B10" s="118" t="s">
        <v>74</v>
      </c>
      <c r="C10">
        <v>0</v>
      </c>
      <c r="D10">
        <v>80</v>
      </c>
      <c r="E10">
        <v>0.01</v>
      </c>
      <c r="F10" s="3"/>
      <c r="G10" s="114">
        <f t="shared" si="4"/>
        <v>0</v>
      </c>
      <c r="H10">
        <f t="shared" ref="H10:Q22" si="6">$G10*($E10+IF(H$1&lt;$D10,0,IF(H$1/ROUNDDOWN(H$1/$D10,0)/$D10=1,1,0)))*((1+Inflation_products)/(1+Discount_rate))^(H$1)</f>
        <v>0</v>
      </c>
      <c r="I10">
        <f t="shared" si="6"/>
        <v>0</v>
      </c>
      <c r="J10">
        <f t="shared" si="6"/>
        <v>0</v>
      </c>
      <c r="K10">
        <f t="shared" si="6"/>
        <v>0</v>
      </c>
      <c r="L10">
        <f t="shared" si="6"/>
        <v>0</v>
      </c>
      <c r="M10">
        <f t="shared" si="6"/>
        <v>0</v>
      </c>
      <c r="N10">
        <f t="shared" si="6"/>
        <v>0</v>
      </c>
      <c r="O10">
        <f t="shared" si="6"/>
        <v>0</v>
      </c>
      <c r="P10">
        <f t="shared" si="6"/>
        <v>0</v>
      </c>
      <c r="Q10">
        <f t="shared" si="6"/>
        <v>0</v>
      </c>
      <c r="R10">
        <f t="shared" ref="R10:AA22" si="7">$G10*($E10+IF(R$1&lt;$D10,0,IF(R$1/ROUNDDOWN(R$1/$D10,0)/$D10=1,1,0)))*((1+Inflation_products)/(1+Discount_rate))^(R$1)</f>
        <v>0</v>
      </c>
      <c r="S10">
        <f t="shared" si="7"/>
        <v>0</v>
      </c>
      <c r="T10">
        <f t="shared" si="7"/>
        <v>0</v>
      </c>
      <c r="U10">
        <f t="shared" si="7"/>
        <v>0</v>
      </c>
      <c r="V10">
        <f t="shared" si="7"/>
        <v>0</v>
      </c>
      <c r="W10">
        <f t="shared" si="7"/>
        <v>0</v>
      </c>
      <c r="X10">
        <f t="shared" si="7"/>
        <v>0</v>
      </c>
      <c r="Y10">
        <f t="shared" si="7"/>
        <v>0</v>
      </c>
      <c r="Z10">
        <f t="shared" si="7"/>
        <v>0</v>
      </c>
      <c r="AA10">
        <f t="shared" si="7"/>
        <v>0</v>
      </c>
      <c r="AB10">
        <f t="shared" ref="AB10:AK22" si="8">$G10*($E10+IF(AB$1&lt;$D10,0,IF(AB$1/ROUNDDOWN(AB$1/$D10,0)/$D10=1,1,0)))*((1+Inflation_products)/(1+Discount_rate))^(AB$1)</f>
        <v>0</v>
      </c>
      <c r="AC10">
        <f t="shared" si="8"/>
        <v>0</v>
      </c>
      <c r="AD10">
        <f t="shared" si="8"/>
        <v>0</v>
      </c>
      <c r="AE10">
        <f t="shared" si="8"/>
        <v>0</v>
      </c>
      <c r="AF10">
        <f t="shared" si="8"/>
        <v>0</v>
      </c>
      <c r="AG10">
        <f t="shared" si="8"/>
        <v>0</v>
      </c>
      <c r="AH10">
        <f t="shared" si="8"/>
        <v>0</v>
      </c>
      <c r="AI10">
        <f t="shared" si="8"/>
        <v>0</v>
      </c>
      <c r="AJ10">
        <f t="shared" si="8"/>
        <v>0</v>
      </c>
      <c r="AK10">
        <f t="shared" si="8"/>
        <v>0</v>
      </c>
      <c r="AL10">
        <f t="shared" ref="AL10:AU22" si="9">$G10*($E10+IF(AL$1&lt;$D10,0,IF(AL$1/ROUNDDOWN(AL$1/$D10,0)/$D10=1,1,0)))*((1+Inflation_products)/(1+Discount_rate))^(AL$1)</f>
        <v>0</v>
      </c>
      <c r="AM10">
        <f t="shared" si="9"/>
        <v>0</v>
      </c>
      <c r="AN10">
        <f t="shared" si="9"/>
        <v>0</v>
      </c>
      <c r="AO10">
        <f t="shared" si="9"/>
        <v>0</v>
      </c>
      <c r="AP10">
        <f t="shared" si="9"/>
        <v>0</v>
      </c>
      <c r="AQ10">
        <f t="shared" si="9"/>
        <v>0</v>
      </c>
      <c r="AR10">
        <f t="shared" si="9"/>
        <v>0</v>
      </c>
      <c r="AS10">
        <f t="shared" si="9"/>
        <v>0</v>
      </c>
      <c r="AT10">
        <f t="shared" si="9"/>
        <v>0</v>
      </c>
      <c r="AU10">
        <f t="shared" si="9"/>
        <v>0</v>
      </c>
      <c r="AV10">
        <f t="shared" ref="AV10:BE22" si="10">$G10*($E10+IF(AV$1&lt;$D10,0,IF(AV$1/ROUNDDOWN(AV$1/$D10,0)/$D10=1,1,0)))*((1+Inflation_products)/(1+Discount_rate))^(AV$1)</f>
        <v>0</v>
      </c>
      <c r="AW10">
        <f t="shared" si="10"/>
        <v>0</v>
      </c>
      <c r="AX10">
        <f t="shared" si="10"/>
        <v>0</v>
      </c>
      <c r="AY10">
        <f t="shared" si="10"/>
        <v>0</v>
      </c>
      <c r="AZ10">
        <f t="shared" si="10"/>
        <v>0</v>
      </c>
      <c r="BA10">
        <f t="shared" si="10"/>
        <v>0</v>
      </c>
      <c r="BB10">
        <f t="shared" si="10"/>
        <v>0</v>
      </c>
      <c r="BC10">
        <f t="shared" si="10"/>
        <v>0</v>
      </c>
      <c r="BD10">
        <f t="shared" si="10"/>
        <v>0</v>
      </c>
      <c r="BE10">
        <f t="shared" si="10"/>
        <v>0</v>
      </c>
      <c r="BF10">
        <f t="shared" ref="BF10:BF27" si="11">G10*((1+Inflation_products)/(1+Discount_rate))^(BL10*D10)*(Calculation_Period-BL10*D10)/D10</f>
        <v>0</v>
      </c>
      <c r="BG10" s="116">
        <f>SUM(F10:BD10)</f>
        <v>0</v>
      </c>
      <c r="BH10" s="116">
        <f>SUM(G10:BE10)</f>
        <v>0</v>
      </c>
      <c r="BI10" s="116">
        <f>SUM(H10:BF10)</f>
        <v>0</v>
      </c>
      <c r="BJ10" s="124">
        <f t="shared" ref="BJ10:BJ27" si="12">$G10*demolition_1</f>
        <v>0</v>
      </c>
      <c r="BK10" s="123"/>
      <c r="BL10">
        <f t="shared" ref="BL10:BL27" si="13">INT(Calculation_Period/D10)</f>
        <v>0</v>
      </c>
      <c r="BN10" s="126" t="s">
        <v>86</v>
      </c>
      <c r="BO10" s="126"/>
    </row>
    <row r="11" spans="1:67" x14ac:dyDescent="0.3">
      <c r="B11" s="118" t="s">
        <v>73</v>
      </c>
      <c r="C11">
        <v>1</v>
      </c>
      <c r="D11">
        <v>80</v>
      </c>
      <c r="E11">
        <v>5.0000000000000001E-3</v>
      </c>
      <c r="F11" s="3">
        <v>5327</v>
      </c>
      <c r="G11" s="114">
        <f t="shared" si="4"/>
        <v>5327</v>
      </c>
      <c r="H11">
        <f t="shared" si="6"/>
        <v>26.990484429065742</v>
      </c>
      <c r="I11">
        <f t="shared" si="6"/>
        <v>27.35071333642351</v>
      </c>
      <c r="J11">
        <f t="shared" si="6"/>
        <v>27.715750044324366</v>
      </c>
      <c r="K11">
        <f t="shared" si="6"/>
        <v>28.085658720150732</v>
      </c>
      <c r="L11">
        <f t="shared" si="6"/>
        <v>28.460504387695995</v>
      </c>
      <c r="M11">
        <f t="shared" si="6"/>
        <v>28.840352938594549</v>
      </c>
      <c r="N11">
        <f t="shared" si="6"/>
        <v>29.225271143904514</v>
      </c>
      <c r="O11">
        <f t="shared" si="6"/>
        <v>29.615326665844897</v>
      </c>
      <c r="P11">
        <f t="shared" si="6"/>
        <v>30.010588069689586</v>
      </c>
      <c r="Q11">
        <f t="shared" si="6"/>
        <v>30.411124835819887</v>
      </c>
      <c r="R11">
        <f t="shared" si="7"/>
        <v>30.817007371938097</v>
      </c>
      <c r="S11">
        <f t="shared" si="7"/>
        <v>31.228307025443936</v>
      </c>
      <c r="T11">
        <f t="shared" si="7"/>
        <v>31.645096095976303</v>
      </c>
      <c r="U11">
        <f t="shared" si="7"/>
        <v>32.067447848122292</v>
      </c>
      <c r="V11">
        <f t="shared" si="7"/>
        <v>32.495436524295947</v>
      </c>
      <c r="W11">
        <f t="shared" si="7"/>
        <v>32.929137357788761</v>
      </c>
      <c r="X11">
        <f t="shared" si="7"/>
        <v>33.368626585994541</v>
      </c>
      <c r="Y11">
        <f t="shared" si="7"/>
        <v>33.813981463810578</v>
      </c>
      <c r="Z11">
        <f t="shared" si="7"/>
        <v>34.265280277217833</v>
      </c>
      <c r="AA11">
        <f t="shared" si="7"/>
        <v>34.722602357042284</v>
      </c>
      <c r="AB11">
        <f t="shared" si="8"/>
        <v>35.186028092899988</v>
      </c>
      <c r="AC11">
        <f t="shared" si="8"/>
        <v>35.6556389473282</v>
      </c>
      <c r="AD11">
        <f t="shared" si="8"/>
        <v>36.131517470105194</v>
      </c>
      <c r="AE11">
        <f t="shared" si="8"/>
        <v>36.613747312761063</v>
      </c>
      <c r="AF11">
        <f t="shared" si="8"/>
        <v>37.102413243282342</v>
      </c>
      <c r="AG11">
        <f t="shared" si="8"/>
        <v>37.59760116101274</v>
      </c>
      <c r="AH11">
        <f t="shared" si="8"/>
        <v>38.099398111752897</v>
      </c>
      <c r="AI11">
        <f t="shared" si="8"/>
        <v>38.607892303061504</v>
      </c>
      <c r="AJ11">
        <f t="shared" si="8"/>
        <v>39.123173119760779</v>
      </c>
      <c r="AK11">
        <f t="shared" si="8"/>
        <v>39.645331139648832</v>
      </c>
      <c r="AL11">
        <f t="shared" si="9"/>
        <v>40.174458149421703</v>
      </c>
      <c r="AM11">
        <f t="shared" si="9"/>
        <v>40.710647160807937</v>
      </c>
      <c r="AN11">
        <f t="shared" si="9"/>
        <v>41.253992426918572</v>
      </c>
      <c r="AO11">
        <f t="shared" si="9"/>
        <v>41.804589458815151</v>
      </c>
      <c r="AP11">
        <f t="shared" si="9"/>
        <v>42.362535042299086</v>
      </c>
      <c r="AQ11">
        <f t="shared" si="9"/>
        <v>42.927927254924917</v>
      </c>
      <c r="AR11">
        <f t="shared" si="9"/>
        <v>43.500865483240766</v>
      </c>
      <c r="AS11">
        <f t="shared" si="9"/>
        <v>44.081450440258799</v>
      </c>
      <c r="AT11">
        <f t="shared" si="9"/>
        <v>44.669784183158939</v>
      </c>
      <c r="AU11">
        <f t="shared" si="9"/>
        <v>45.265970131228769</v>
      </c>
      <c r="AV11">
        <f t="shared" si="10"/>
        <v>45.870113084042984</v>
      </c>
      <c r="AW11">
        <f t="shared" si="10"/>
        <v>46.482319239885364</v>
      </c>
      <c r="AX11">
        <f t="shared" si="10"/>
        <v>47.10269621441671</v>
      </c>
      <c r="AY11">
        <f t="shared" si="10"/>
        <v>47.731353059591804</v>
      </c>
      <c r="AZ11">
        <f t="shared" si="10"/>
        <v>48.368400282829064</v>
      </c>
      <c r="BA11">
        <f t="shared" si="10"/>
        <v>49.013949866435759</v>
      </c>
      <c r="BB11">
        <f t="shared" si="10"/>
        <v>49.668115287292792</v>
      </c>
      <c r="BC11">
        <f t="shared" si="10"/>
        <v>50.331011536801867</v>
      </c>
      <c r="BD11">
        <f t="shared" si="10"/>
        <v>51.002755141099264</v>
      </c>
      <c r="BE11">
        <f t="shared" si="10"/>
        <v>51.683464181539037</v>
      </c>
      <c r="BF11">
        <f t="shared" si="11"/>
        <v>3329.375</v>
      </c>
      <c r="BG11" s="116">
        <f>SUM($G11:AA11)-$BF11</f>
        <v>2611.683697479144</v>
      </c>
      <c r="BH11" s="116">
        <f>SUM($G11:AK11)-$BF11</f>
        <v>2985.4464383807572</v>
      </c>
      <c r="BI11" s="116">
        <f>SUM($G11:BE11)-$BF11</f>
        <v>3899.4528360057666</v>
      </c>
      <c r="BJ11" s="124">
        <f t="shared" si="12"/>
        <v>319.62</v>
      </c>
      <c r="BK11" s="123"/>
      <c r="BL11">
        <f t="shared" si="13"/>
        <v>0</v>
      </c>
      <c r="BN11" s="126">
        <f>SUM(BI35:BI36)</f>
        <v>285.38902033817971</v>
      </c>
      <c r="BO11" s="126"/>
    </row>
    <row r="12" spans="1:67" x14ac:dyDescent="0.3">
      <c r="B12" t="s">
        <v>64</v>
      </c>
      <c r="C12">
        <v>1</v>
      </c>
      <c r="D12">
        <v>51</v>
      </c>
      <c r="E12">
        <v>5.0000000000000001E-3</v>
      </c>
      <c r="F12" s="3">
        <v>4015</v>
      </c>
      <c r="G12" s="114">
        <f t="shared" si="4"/>
        <v>4015</v>
      </c>
      <c r="H12">
        <f t="shared" si="6"/>
        <v>20.342931290163122</v>
      </c>
      <c r="I12">
        <f t="shared" si="6"/>
        <v>20.614438529329902</v>
      </c>
      <c r="J12">
        <f t="shared" si="6"/>
        <v>20.889569443957633</v>
      </c>
      <c r="K12">
        <f t="shared" si="6"/>
        <v>21.168372397485484</v>
      </c>
      <c r="L12">
        <f t="shared" si="6"/>
        <v>21.450896398836004</v>
      </c>
      <c r="M12">
        <f t="shared" si="6"/>
        <v>21.737191111030057</v>
      </c>
      <c r="N12">
        <f t="shared" si="6"/>
        <v>22.027306859916767</v>
      </c>
      <c r="O12">
        <f t="shared" si="6"/>
        <v>22.321294643019943</v>
      </c>
      <c r="P12">
        <f t="shared" si="6"/>
        <v>22.619206138502662</v>
      </c>
      <c r="Q12">
        <f t="shared" si="6"/>
        <v>22.921093714251331</v>
      </c>
      <c r="R12">
        <f t="shared" si="7"/>
        <v>23.22701043708118</v>
      </c>
      <c r="S12">
        <f t="shared" si="7"/>
        <v>23.537010082064462</v>
      </c>
      <c r="T12">
        <f t="shared" si="7"/>
        <v>23.851147141983262</v>
      </c>
      <c r="U12">
        <f t="shared" si="7"/>
        <v>24.169476836908391</v>
      </c>
      <c r="V12">
        <f t="shared" si="7"/>
        <v>24.49205512390618</v>
      </c>
      <c r="W12">
        <f t="shared" si="7"/>
        <v>24.818938706874764</v>
      </c>
      <c r="X12">
        <f t="shared" si="7"/>
        <v>25.150185046511744</v>
      </c>
      <c r="Y12">
        <f t="shared" si="7"/>
        <v>25.485852370414765</v>
      </c>
      <c r="Z12">
        <f t="shared" si="7"/>
        <v>25.82599968331699</v>
      </c>
      <c r="AA12">
        <f t="shared" si="7"/>
        <v>26.170686777459125</v>
      </c>
      <c r="AB12">
        <f t="shared" si="8"/>
        <v>26.519974243099949</v>
      </c>
      <c r="AC12">
        <f t="shared" si="8"/>
        <v>26.873923479167022</v>
      </c>
      <c r="AD12">
        <f t="shared" si="8"/>
        <v>27.232596704049623</v>
      </c>
      <c r="AE12">
        <f t="shared" si="8"/>
        <v>27.596056966535695</v>
      </c>
      <c r="AF12">
        <f t="shared" si="8"/>
        <v>27.964368156894796</v>
      </c>
      <c r="AG12">
        <f t="shared" si="8"/>
        <v>28.337595018108903</v>
      </c>
      <c r="AH12">
        <f t="shared" si="8"/>
        <v>28.715803157253212</v>
      </c>
      <c r="AI12">
        <f t="shared" si="8"/>
        <v>29.099059057028708</v>
      </c>
      <c r="AJ12">
        <f t="shared" si="8"/>
        <v>29.487430087448757</v>
      </c>
      <c r="AK12">
        <f t="shared" si="8"/>
        <v>29.880984517681629</v>
      </c>
      <c r="AL12">
        <f t="shared" si="9"/>
        <v>30.279791528051081</v>
      </c>
      <c r="AM12">
        <f t="shared" si="9"/>
        <v>30.683921222197085</v>
      </c>
      <c r="AN12">
        <f t="shared" si="9"/>
        <v>31.093444639398921</v>
      </c>
      <c r="AO12">
        <f t="shared" si="9"/>
        <v>31.508433767062666</v>
      </c>
      <c r="AP12">
        <f t="shared" si="9"/>
        <v>31.928961553375412</v>
      </c>
      <c r="AQ12">
        <f t="shared" si="9"/>
        <v>32.355101920128313</v>
      </c>
      <c r="AR12">
        <f t="shared" si="9"/>
        <v>32.786929775710838</v>
      </c>
      <c r="AS12">
        <f t="shared" si="9"/>
        <v>33.224521028278403</v>
      </c>
      <c r="AT12">
        <f t="shared" si="9"/>
        <v>33.667952599095763</v>
      </c>
      <c r="AU12">
        <f t="shared" si="9"/>
        <v>34.117302436058473</v>
      </c>
      <c r="AV12">
        <f t="shared" si="10"/>
        <v>34.572649527394887</v>
      </c>
      <c r="AW12">
        <f t="shared" si="10"/>
        <v>35.034073915550913</v>
      </c>
      <c r="AX12">
        <f t="shared" si="10"/>
        <v>35.501656711260196</v>
      </c>
      <c r="AY12">
        <f t="shared" si="10"/>
        <v>35.975480107801964</v>
      </c>
      <c r="AZ12">
        <f t="shared" si="10"/>
        <v>36.455627395449348</v>
      </c>
      <c r="BA12">
        <f t="shared" si="10"/>
        <v>36.942182976110296</v>
      </c>
      <c r="BB12">
        <f t="shared" si="10"/>
        <v>37.435232378164166</v>
      </c>
      <c r="BC12">
        <f t="shared" si="10"/>
        <v>37.934862271496051</v>
      </c>
      <c r="BD12">
        <f t="shared" si="10"/>
        <v>38.44116048273203</v>
      </c>
      <c r="BE12">
        <f t="shared" si="10"/>
        <v>38.954216010677534</v>
      </c>
      <c r="BF12">
        <f t="shared" si="11"/>
        <v>3936.2745098039218</v>
      </c>
      <c r="BG12" s="116">
        <f>SUM($G12:AA12)-$BF12</f>
        <v>541.54615292909466</v>
      </c>
      <c r="BH12" s="116">
        <f>SUM($G12:AK12)-$BF12</f>
        <v>823.2539443163646</v>
      </c>
      <c r="BI12" s="116">
        <f t="shared" ref="BI12:BI27" si="14">SUM(G12:BE12)-$BF12</f>
        <v>1512.1474465623564</v>
      </c>
      <c r="BJ12" s="124">
        <f t="shared" si="12"/>
        <v>240.89999999999998</v>
      </c>
      <c r="BK12" s="123"/>
      <c r="BL12">
        <f t="shared" si="13"/>
        <v>0</v>
      </c>
    </row>
    <row r="13" spans="1:67" x14ac:dyDescent="0.3">
      <c r="B13" s="213" t="s">
        <v>487</v>
      </c>
      <c r="C13">
        <v>0</v>
      </c>
      <c r="D13">
        <v>30</v>
      </c>
      <c r="E13">
        <v>0.02</v>
      </c>
      <c r="F13" s="3">
        <v>0</v>
      </c>
      <c r="G13" s="114">
        <f t="shared" si="4"/>
        <v>0</v>
      </c>
      <c r="H13">
        <f t="shared" si="6"/>
        <v>0</v>
      </c>
      <c r="I13">
        <f t="shared" si="6"/>
        <v>0</v>
      </c>
      <c r="J13">
        <f t="shared" si="6"/>
        <v>0</v>
      </c>
      <c r="K13">
        <f t="shared" si="6"/>
        <v>0</v>
      </c>
      <c r="L13">
        <f t="shared" si="6"/>
        <v>0</v>
      </c>
      <c r="M13">
        <f t="shared" si="6"/>
        <v>0</v>
      </c>
      <c r="N13">
        <f t="shared" si="6"/>
        <v>0</v>
      </c>
      <c r="O13">
        <f t="shared" si="6"/>
        <v>0</v>
      </c>
      <c r="P13">
        <f t="shared" si="6"/>
        <v>0</v>
      </c>
      <c r="Q13">
        <f t="shared" si="6"/>
        <v>0</v>
      </c>
      <c r="R13">
        <f t="shared" si="7"/>
        <v>0</v>
      </c>
      <c r="S13">
        <f t="shared" si="7"/>
        <v>0</v>
      </c>
      <c r="T13">
        <f t="shared" si="7"/>
        <v>0</v>
      </c>
      <c r="U13">
        <f t="shared" si="7"/>
        <v>0</v>
      </c>
      <c r="V13">
        <f t="shared" si="7"/>
        <v>0</v>
      </c>
      <c r="W13">
        <f t="shared" si="7"/>
        <v>0</v>
      </c>
      <c r="X13">
        <f t="shared" si="7"/>
        <v>0</v>
      </c>
      <c r="Y13">
        <f t="shared" si="7"/>
        <v>0</v>
      </c>
      <c r="Z13">
        <f t="shared" si="7"/>
        <v>0</v>
      </c>
      <c r="AA13">
        <f t="shared" si="7"/>
        <v>0</v>
      </c>
      <c r="AB13">
        <f t="shared" si="8"/>
        <v>0</v>
      </c>
      <c r="AC13">
        <f t="shared" si="8"/>
        <v>0</v>
      </c>
      <c r="AD13">
        <f t="shared" si="8"/>
        <v>0</v>
      </c>
      <c r="AE13">
        <f t="shared" si="8"/>
        <v>0</v>
      </c>
      <c r="AF13">
        <f t="shared" si="8"/>
        <v>0</v>
      </c>
      <c r="AG13">
        <f t="shared" si="8"/>
        <v>0</v>
      </c>
      <c r="AH13">
        <f t="shared" si="8"/>
        <v>0</v>
      </c>
      <c r="AI13">
        <f t="shared" si="8"/>
        <v>0</v>
      </c>
      <c r="AJ13">
        <f t="shared" si="8"/>
        <v>0</v>
      </c>
      <c r="AK13">
        <f t="shared" si="8"/>
        <v>0</v>
      </c>
      <c r="AL13">
        <f t="shared" si="9"/>
        <v>0</v>
      </c>
      <c r="AM13">
        <f t="shared" si="9"/>
        <v>0</v>
      </c>
      <c r="AN13">
        <f t="shared" si="9"/>
        <v>0</v>
      </c>
      <c r="AO13">
        <f t="shared" si="9"/>
        <v>0</v>
      </c>
      <c r="AP13">
        <f t="shared" si="9"/>
        <v>0</v>
      </c>
      <c r="AQ13">
        <f t="shared" si="9"/>
        <v>0</v>
      </c>
      <c r="AR13">
        <f t="shared" si="9"/>
        <v>0</v>
      </c>
      <c r="AS13">
        <f t="shared" si="9"/>
        <v>0</v>
      </c>
      <c r="AT13">
        <f t="shared" si="9"/>
        <v>0</v>
      </c>
      <c r="AU13">
        <f t="shared" si="9"/>
        <v>0</v>
      </c>
      <c r="AV13">
        <f t="shared" si="10"/>
        <v>0</v>
      </c>
      <c r="AW13">
        <f t="shared" si="10"/>
        <v>0</v>
      </c>
      <c r="AX13">
        <f t="shared" si="10"/>
        <v>0</v>
      </c>
      <c r="AY13">
        <f t="shared" si="10"/>
        <v>0</v>
      </c>
      <c r="AZ13">
        <f t="shared" si="10"/>
        <v>0</v>
      </c>
      <c r="BA13">
        <f t="shared" si="10"/>
        <v>0</v>
      </c>
      <c r="BB13">
        <f t="shared" si="10"/>
        <v>0</v>
      </c>
      <c r="BC13">
        <f t="shared" si="10"/>
        <v>0</v>
      </c>
      <c r="BD13">
        <f t="shared" si="10"/>
        <v>0</v>
      </c>
      <c r="BE13">
        <f t="shared" si="10"/>
        <v>0</v>
      </c>
      <c r="BF13">
        <f t="shared" si="11"/>
        <v>0</v>
      </c>
      <c r="BG13" s="116">
        <f>SUM($G13:AA13)-$BF13</f>
        <v>0</v>
      </c>
      <c r="BH13" s="116">
        <f>SUM($G13:AK13)-$BF13</f>
        <v>0</v>
      </c>
      <c r="BI13" s="116">
        <f t="shared" si="14"/>
        <v>0</v>
      </c>
      <c r="BJ13" s="124">
        <f t="shared" si="12"/>
        <v>0</v>
      </c>
      <c r="BK13" s="123"/>
      <c r="BL13">
        <f t="shared" si="13"/>
        <v>1</v>
      </c>
      <c r="BN13" s="130" t="s">
        <v>87</v>
      </c>
      <c r="BO13" s="130"/>
    </row>
    <row r="14" spans="1:67" x14ac:dyDescent="0.3">
      <c r="B14" t="s">
        <v>65</v>
      </c>
      <c r="C14">
        <v>0</v>
      </c>
      <c r="D14">
        <v>80</v>
      </c>
      <c r="E14">
        <v>0.01</v>
      </c>
      <c r="F14" s="3">
        <v>0</v>
      </c>
      <c r="G14" s="114">
        <f t="shared" si="4"/>
        <v>0</v>
      </c>
      <c r="H14">
        <f t="shared" si="6"/>
        <v>0</v>
      </c>
      <c r="I14">
        <f t="shared" si="6"/>
        <v>0</v>
      </c>
      <c r="J14">
        <f t="shared" si="6"/>
        <v>0</v>
      </c>
      <c r="K14">
        <f t="shared" si="6"/>
        <v>0</v>
      </c>
      <c r="L14">
        <f t="shared" si="6"/>
        <v>0</v>
      </c>
      <c r="M14">
        <f t="shared" si="6"/>
        <v>0</v>
      </c>
      <c r="N14">
        <f t="shared" si="6"/>
        <v>0</v>
      </c>
      <c r="O14">
        <f t="shared" si="6"/>
        <v>0</v>
      </c>
      <c r="P14">
        <f t="shared" si="6"/>
        <v>0</v>
      </c>
      <c r="Q14">
        <f t="shared" si="6"/>
        <v>0</v>
      </c>
      <c r="R14">
        <f t="shared" si="7"/>
        <v>0</v>
      </c>
      <c r="S14">
        <f t="shared" si="7"/>
        <v>0</v>
      </c>
      <c r="T14">
        <f t="shared" si="7"/>
        <v>0</v>
      </c>
      <c r="U14">
        <f t="shared" si="7"/>
        <v>0</v>
      </c>
      <c r="V14">
        <f t="shared" si="7"/>
        <v>0</v>
      </c>
      <c r="W14">
        <f t="shared" si="7"/>
        <v>0</v>
      </c>
      <c r="X14">
        <f t="shared" si="7"/>
        <v>0</v>
      </c>
      <c r="Y14">
        <f t="shared" si="7"/>
        <v>0</v>
      </c>
      <c r="Z14">
        <f t="shared" si="7"/>
        <v>0</v>
      </c>
      <c r="AA14">
        <f t="shared" si="7"/>
        <v>0</v>
      </c>
      <c r="AB14">
        <f t="shared" si="8"/>
        <v>0</v>
      </c>
      <c r="AC14">
        <f t="shared" si="8"/>
        <v>0</v>
      </c>
      <c r="AD14">
        <f t="shared" si="8"/>
        <v>0</v>
      </c>
      <c r="AE14">
        <f t="shared" si="8"/>
        <v>0</v>
      </c>
      <c r="AF14">
        <f t="shared" si="8"/>
        <v>0</v>
      </c>
      <c r="AG14">
        <f t="shared" si="8"/>
        <v>0</v>
      </c>
      <c r="AH14">
        <f t="shared" si="8"/>
        <v>0</v>
      </c>
      <c r="AI14">
        <f t="shared" si="8"/>
        <v>0</v>
      </c>
      <c r="AJ14">
        <f t="shared" si="8"/>
        <v>0</v>
      </c>
      <c r="AK14">
        <f t="shared" si="8"/>
        <v>0</v>
      </c>
      <c r="AL14">
        <f t="shared" si="9"/>
        <v>0</v>
      </c>
      <c r="AM14">
        <f t="shared" si="9"/>
        <v>0</v>
      </c>
      <c r="AN14">
        <f t="shared" si="9"/>
        <v>0</v>
      </c>
      <c r="AO14">
        <f t="shared" si="9"/>
        <v>0</v>
      </c>
      <c r="AP14">
        <f t="shared" si="9"/>
        <v>0</v>
      </c>
      <c r="AQ14">
        <f t="shared" si="9"/>
        <v>0</v>
      </c>
      <c r="AR14">
        <f t="shared" si="9"/>
        <v>0</v>
      </c>
      <c r="AS14">
        <f t="shared" si="9"/>
        <v>0</v>
      </c>
      <c r="AT14">
        <f t="shared" si="9"/>
        <v>0</v>
      </c>
      <c r="AU14">
        <f t="shared" si="9"/>
        <v>0</v>
      </c>
      <c r="AV14">
        <f t="shared" si="10"/>
        <v>0</v>
      </c>
      <c r="AW14">
        <f t="shared" si="10"/>
        <v>0</v>
      </c>
      <c r="AX14">
        <f t="shared" si="10"/>
        <v>0</v>
      </c>
      <c r="AY14">
        <f t="shared" si="10"/>
        <v>0</v>
      </c>
      <c r="AZ14">
        <f t="shared" si="10"/>
        <v>0</v>
      </c>
      <c r="BA14">
        <f t="shared" si="10"/>
        <v>0</v>
      </c>
      <c r="BB14">
        <f t="shared" si="10"/>
        <v>0</v>
      </c>
      <c r="BC14">
        <f t="shared" si="10"/>
        <v>0</v>
      </c>
      <c r="BD14">
        <f t="shared" si="10"/>
        <v>0</v>
      </c>
      <c r="BE14">
        <f t="shared" si="10"/>
        <v>0</v>
      </c>
      <c r="BF14">
        <f t="shared" si="11"/>
        <v>0</v>
      </c>
      <c r="BG14" s="116">
        <f>SUM($G14:AA14)-$BF14</f>
        <v>0</v>
      </c>
      <c r="BH14" s="116">
        <f>SUM($G14:AK14)-$BF14</f>
        <v>0</v>
      </c>
      <c r="BI14" s="116">
        <f t="shared" si="14"/>
        <v>0</v>
      </c>
      <c r="BJ14" s="124">
        <f t="shared" si="12"/>
        <v>0</v>
      </c>
      <c r="BK14" s="123"/>
      <c r="BL14">
        <f t="shared" si="13"/>
        <v>0</v>
      </c>
      <c r="BN14" s="130">
        <f>SUM(BJ10:BJ27)</f>
        <v>817.2</v>
      </c>
      <c r="BO14" s="130"/>
    </row>
    <row r="15" spans="1:67" x14ac:dyDescent="0.3">
      <c r="B15" t="s">
        <v>409</v>
      </c>
      <c r="C15">
        <v>0</v>
      </c>
      <c r="D15">
        <v>60</v>
      </c>
      <c r="E15">
        <v>0.01</v>
      </c>
      <c r="F15" s="3">
        <v>0</v>
      </c>
      <c r="G15" s="114">
        <f t="shared" si="4"/>
        <v>0</v>
      </c>
      <c r="H15">
        <f t="shared" si="6"/>
        <v>0</v>
      </c>
      <c r="I15">
        <f t="shared" si="6"/>
        <v>0</v>
      </c>
      <c r="J15">
        <f t="shared" si="6"/>
        <v>0</v>
      </c>
      <c r="K15">
        <f t="shared" si="6"/>
        <v>0</v>
      </c>
      <c r="L15">
        <f t="shared" si="6"/>
        <v>0</v>
      </c>
      <c r="M15">
        <f t="shared" si="6"/>
        <v>0</v>
      </c>
      <c r="N15">
        <f t="shared" si="6"/>
        <v>0</v>
      </c>
      <c r="O15">
        <f t="shared" si="6"/>
        <v>0</v>
      </c>
      <c r="P15">
        <f t="shared" si="6"/>
        <v>0</v>
      </c>
      <c r="Q15">
        <f t="shared" si="6"/>
        <v>0</v>
      </c>
      <c r="R15">
        <f t="shared" si="7"/>
        <v>0</v>
      </c>
      <c r="S15">
        <f t="shared" si="7"/>
        <v>0</v>
      </c>
      <c r="T15">
        <f t="shared" si="7"/>
        <v>0</v>
      </c>
      <c r="U15">
        <f t="shared" si="7"/>
        <v>0</v>
      </c>
      <c r="V15">
        <f t="shared" si="7"/>
        <v>0</v>
      </c>
      <c r="W15">
        <f t="shared" si="7"/>
        <v>0</v>
      </c>
      <c r="X15">
        <f t="shared" si="7"/>
        <v>0</v>
      </c>
      <c r="Y15">
        <f t="shared" si="7"/>
        <v>0</v>
      </c>
      <c r="Z15">
        <f t="shared" si="7"/>
        <v>0</v>
      </c>
      <c r="AA15">
        <f t="shared" si="7"/>
        <v>0</v>
      </c>
      <c r="AB15">
        <f t="shared" si="8"/>
        <v>0</v>
      </c>
      <c r="AC15">
        <f t="shared" si="8"/>
        <v>0</v>
      </c>
      <c r="AD15">
        <f t="shared" si="8"/>
        <v>0</v>
      </c>
      <c r="AE15">
        <f t="shared" si="8"/>
        <v>0</v>
      </c>
      <c r="AF15">
        <f t="shared" si="8"/>
        <v>0</v>
      </c>
      <c r="AG15">
        <f t="shared" si="8"/>
        <v>0</v>
      </c>
      <c r="AH15">
        <f t="shared" si="8"/>
        <v>0</v>
      </c>
      <c r="AI15">
        <f t="shared" si="8"/>
        <v>0</v>
      </c>
      <c r="AJ15">
        <f t="shared" si="8"/>
        <v>0</v>
      </c>
      <c r="AK15">
        <f t="shared" si="8"/>
        <v>0</v>
      </c>
      <c r="AL15">
        <f t="shared" si="9"/>
        <v>0</v>
      </c>
      <c r="AM15">
        <f t="shared" si="9"/>
        <v>0</v>
      </c>
      <c r="AN15">
        <f t="shared" si="9"/>
        <v>0</v>
      </c>
      <c r="AO15">
        <f t="shared" si="9"/>
        <v>0</v>
      </c>
      <c r="AP15">
        <f t="shared" si="9"/>
        <v>0</v>
      </c>
      <c r="AQ15">
        <f t="shared" si="9"/>
        <v>0</v>
      </c>
      <c r="AR15">
        <f t="shared" si="9"/>
        <v>0</v>
      </c>
      <c r="AS15">
        <f t="shared" si="9"/>
        <v>0</v>
      </c>
      <c r="AT15">
        <f t="shared" si="9"/>
        <v>0</v>
      </c>
      <c r="AU15">
        <f t="shared" si="9"/>
        <v>0</v>
      </c>
      <c r="AV15">
        <f t="shared" si="10"/>
        <v>0</v>
      </c>
      <c r="AW15">
        <f t="shared" si="10"/>
        <v>0</v>
      </c>
      <c r="AX15">
        <f t="shared" si="10"/>
        <v>0</v>
      </c>
      <c r="AY15">
        <f t="shared" si="10"/>
        <v>0</v>
      </c>
      <c r="AZ15">
        <f t="shared" si="10"/>
        <v>0</v>
      </c>
      <c r="BA15">
        <f t="shared" si="10"/>
        <v>0</v>
      </c>
      <c r="BB15">
        <f t="shared" si="10"/>
        <v>0</v>
      </c>
      <c r="BC15">
        <f t="shared" si="10"/>
        <v>0</v>
      </c>
      <c r="BD15">
        <f t="shared" si="10"/>
        <v>0</v>
      </c>
      <c r="BE15">
        <f t="shared" si="10"/>
        <v>0</v>
      </c>
      <c r="BF15">
        <f t="shared" si="11"/>
        <v>0</v>
      </c>
      <c r="BG15" s="116">
        <f>SUM($G15:AA15)-$BF15</f>
        <v>0</v>
      </c>
      <c r="BH15" s="116">
        <f>SUM($G15:AK15)-$BF15</f>
        <v>0</v>
      </c>
      <c r="BI15" s="116">
        <f t="shared" si="14"/>
        <v>0</v>
      </c>
      <c r="BJ15" s="124">
        <f t="shared" si="12"/>
        <v>0</v>
      </c>
      <c r="BK15" s="123"/>
      <c r="BL15">
        <f t="shared" si="13"/>
        <v>0</v>
      </c>
    </row>
    <row r="16" spans="1:67" x14ac:dyDescent="0.3">
      <c r="B16" t="s">
        <v>66</v>
      </c>
      <c r="C16">
        <v>1</v>
      </c>
      <c r="D16">
        <v>30</v>
      </c>
      <c r="E16">
        <v>0.02</v>
      </c>
      <c r="F16" s="3">
        <v>270</v>
      </c>
      <c r="G16" s="114">
        <f t="shared" si="4"/>
        <v>270</v>
      </c>
      <c r="H16">
        <f t="shared" si="6"/>
        <v>5.4720711814137415</v>
      </c>
      <c r="I16">
        <f t="shared" si="6"/>
        <v>5.5451042619368112</v>
      </c>
      <c r="J16">
        <f t="shared" si="6"/>
        <v>5.6191120795701739</v>
      </c>
      <c r="K16">
        <f t="shared" si="6"/>
        <v>5.6941076436573663</v>
      </c>
      <c r="L16">
        <f t="shared" si="6"/>
        <v>5.7701041371713293</v>
      </c>
      <c r="M16">
        <f t="shared" si="6"/>
        <v>5.8471149190317462</v>
      </c>
      <c r="N16">
        <f t="shared" si="6"/>
        <v>5.925153526453327</v>
      </c>
      <c r="O16">
        <f t="shared" si="6"/>
        <v>6.0042336773254155</v>
      </c>
      <c r="P16">
        <f t="shared" si="6"/>
        <v>6.0843692726233813</v>
      </c>
      <c r="Q16">
        <f t="shared" si="6"/>
        <v>6.1655743988521641</v>
      </c>
      <c r="R16">
        <f t="shared" si="7"/>
        <v>6.2478633305224598</v>
      </c>
      <c r="S16">
        <f t="shared" si="7"/>
        <v>6.3312505326599311</v>
      </c>
      <c r="T16">
        <f t="shared" si="7"/>
        <v>6.4157506633479269</v>
      </c>
      <c r="U16">
        <f t="shared" si="7"/>
        <v>6.5013785763041252</v>
      </c>
      <c r="V16">
        <f t="shared" si="7"/>
        <v>6.5881493234915762</v>
      </c>
      <c r="W16">
        <f t="shared" si="7"/>
        <v>6.6760781577645698</v>
      </c>
      <c r="X16">
        <f t="shared" si="7"/>
        <v>6.7651805355498604</v>
      </c>
      <c r="Y16">
        <f t="shared" si="7"/>
        <v>6.8554721195636237</v>
      </c>
      <c r="Z16">
        <f t="shared" si="7"/>
        <v>6.9469687815647196</v>
      </c>
      <c r="AA16">
        <f t="shared" si="7"/>
        <v>7.0396866051446709</v>
      </c>
      <c r="AB16">
        <f t="shared" si="8"/>
        <v>7.133641888554906</v>
      </c>
      <c r="AC16">
        <f t="shared" si="8"/>
        <v>7.2288511475717021</v>
      </c>
      <c r="AD16">
        <f t="shared" si="8"/>
        <v>7.3253311183994017</v>
      </c>
      <c r="AE16">
        <f t="shared" si="8"/>
        <v>7.4230987606123424</v>
      </c>
      <c r="AF16">
        <f t="shared" si="8"/>
        <v>7.5221712601360853</v>
      </c>
      <c r="AG16">
        <f t="shared" si="8"/>
        <v>7.6225660322683986</v>
      </c>
      <c r="AH16">
        <f t="shared" si="8"/>
        <v>7.7243007247405906</v>
      </c>
      <c r="AI16">
        <f t="shared" si="8"/>
        <v>7.8273932208196779</v>
      </c>
      <c r="AJ16">
        <f t="shared" si="8"/>
        <v>7.9318616424519703</v>
      </c>
      <c r="AK16">
        <f t="shared" si="8"/>
        <v>409.923942025879</v>
      </c>
      <c r="AL16">
        <f t="shared" si="9"/>
        <v>8.1449999627136176</v>
      </c>
      <c r="AM16">
        <f t="shared" si="9"/>
        <v>8.2537073275150323</v>
      </c>
      <c r="AN16">
        <f t="shared" si="9"/>
        <v>8.3638655567997109</v>
      </c>
      <c r="AO16">
        <f t="shared" si="9"/>
        <v>8.4754940145523499</v>
      </c>
      <c r="AP16">
        <f t="shared" si="9"/>
        <v>8.5886123231993654</v>
      </c>
      <c r="AQ16">
        <f t="shared" si="9"/>
        <v>8.7032403670581768</v>
      </c>
      <c r="AR16">
        <f t="shared" si="9"/>
        <v>8.8193982958325563</v>
      </c>
      <c r="AS16">
        <f t="shared" si="9"/>
        <v>8.9371065281545903</v>
      </c>
      <c r="AT16">
        <f t="shared" si="9"/>
        <v>9.0563857551739542</v>
      </c>
      <c r="AU16">
        <f t="shared" si="9"/>
        <v>9.1772569441950562</v>
      </c>
      <c r="AV16">
        <f t="shared" si="10"/>
        <v>9.2997413423627595</v>
      </c>
      <c r="AW16">
        <f t="shared" si="10"/>
        <v>9.4238604803972574</v>
      </c>
      <c r="AX16">
        <f t="shared" si="10"/>
        <v>9.5496361763788329</v>
      </c>
      <c r="AY16">
        <f t="shared" si="10"/>
        <v>9.6770905395830962</v>
      </c>
      <c r="AZ16">
        <f t="shared" si="10"/>
        <v>9.8062459743674459</v>
      </c>
      <c r="BA16">
        <f t="shared" si="10"/>
        <v>9.9371251841093713</v>
      </c>
      <c r="BB16">
        <f t="shared" si="10"/>
        <v>10.069751175197336</v>
      </c>
      <c r="BC16">
        <f t="shared" si="10"/>
        <v>10.204147261074905</v>
      </c>
      <c r="BD16">
        <f t="shared" si="10"/>
        <v>10.340337066338879</v>
      </c>
      <c r="BE16">
        <f t="shared" si="10"/>
        <v>10.478344530892089</v>
      </c>
      <c r="BF16">
        <f t="shared" si="11"/>
        <v>267.9241451149536</v>
      </c>
      <c r="BG16" s="116">
        <f>SUM($G16:AA16)-$BF16</f>
        <v>126.57057860899528</v>
      </c>
      <c r="BH16" s="116">
        <f>SUM($G16:AK16)-$BF16</f>
        <v>604.2337364304293</v>
      </c>
      <c r="BI16" s="116">
        <f t="shared" si="14"/>
        <v>789.54008323632604</v>
      </c>
      <c r="BJ16" s="124">
        <f t="shared" si="12"/>
        <v>16.2</v>
      </c>
      <c r="BK16" s="123"/>
      <c r="BL16">
        <f t="shared" si="13"/>
        <v>1</v>
      </c>
    </row>
    <row r="17" spans="1:64" x14ac:dyDescent="0.3">
      <c r="B17" t="s">
        <v>67</v>
      </c>
      <c r="C17">
        <v>1</v>
      </c>
      <c r="D17">
        <v>60</v>
      </c>
      <c r="E17">
        <v>0.01</v>
      </c>
      <c r="F17" s="3">
        <v>120</v>
      </c>
      <c r="G17" s="114">
        <f t="shared" si="4"/>
        <v>120</v>
      </c>
      <c r="H17">
        <f t="shared" si="6"/>
        <v>1.2160158180919425</v>
      </c>
      <c r="I17">
        <f t="shared" si="6"/>
        <v>1.2322453915415135</v>
      </c>
      <c r="J17">
        <f t="shared" si="6"/>
        <v>1.2486915732378163</v>
      </c>
      <c r="K17">
        <f t="shared" si="6"/>
        <v>1.2653572541460814</v>
      </c>
      <c r="L17">
        <f t="shared" si="6"/>
        <v>1.2822453638158509</v>
      </c>
      <c r="M17">
        <f t="shared" si="6"/>
        <v>1.2993588708959436</v>
      </c>
      <c r="N17">
        <f t="shared" si="6"/>
        <v>1.3167007836562947</v>
      </c>
      <c r="O17">
        <f t="shared" si="6"/>
        <v>1.3342741505167588</v>
      </c>
      <c r="P17">
        <f t="shared" si="6"/>
        <v>1.3520820605829735</v>
      </c>
      <c r="Q17">
        <f t="shared" si="6"/>
        <v>1.3701276441893697</v>
      </c>
      <c r="R17">
        <f t="shared" si="7"/>
        <v>1.3884140734494355</v>
      </c>
      <c r="S17">
        <f t="shared" si="7"/>
        <v>1.4069445628133177</v>
      </c>
      <c r="T17">
        <f t="shared" si="7"/>
        <v>1.4257223696328725</v>
      </c>
      <c r="U17">
        <f t="shared" si="7"/>
        <v>1.4447507947342499</v>
      </c>
      <c r="V17">
        <f t="shared" si="7"/>
        <v>1.4640331829981279</v>
      </c>
      <c r="W17">
        <f t="shared" si="7"/>
        <v>1.483572923947682</v>
      </c>
      <c r="X17">
        <f t="shared" si="7"/>
        <v>1.5033734523444131</v>
      </c>
      <c r="Y17">
        <f t="shared" si="7"/>
        <v>1.5234382487919162</v>
      </c>
      <c r="Z17">
        <f t="shared" si="7"/>
        <v>1.5437708403477155</v>
      </c>
      <c r="AA17">
        <f t="shared" si="7"/>
        <v>1.5643748011432601</v>
      </c>
      <c r="AB17">
        <f t="shared" si="8"/>
        <v>1.5852537530122013</v>
      </c>
      <c r="AC17">
        <f t="shared" si="8"/>
        <v>1.6064113661270449</v>
      </c>
      <c r="AD17">
        <f t="shared" si="8"/>
        <v>1.6278513596443114</v>
      </c>
      <c r="AE17">
        <f t="shared" si="8"/>
        <v>1.6495775023582981</v>
      </c>
      <c r="AF17">
        <f t="shared" si="8"/>
        <v>1.6715936133635745</v>
      </c>
      <c r="AG17">
        <f t="shared" si="8"/>
        <v>1.6939035627263106</v>
      </c>
      <c r="AH17">
        <f t="shared" si="8"/>
        <v>1.7165112721645757</v>
      </c>
      <c r="AI17">
        <f t="shared" si="8"/>
        <v>1.739420715737706</v>
      </c>
      <c r="AJ17">
        <f t="shared" si="8"/>
        <v>1.7626359205448821</v>
      </c>
      <c r="AK17">
        <f t="shared" si="8"/>
        <v>1.7861609674330239</v>
      </c>
      <c r="AL17">
        <f t="shared" si="9"/>
        <v>1.8099999917141369</v>
      </c>
      <c r="AM17">
        <f t="shared" si="9"/>
        <v>1.8341571838922293</v>
      </c>
      <c r="AN17">
        <f t="shared" si="9"/>
        <v>1.8586367903999355</v>
      </c>
      <c r="AO17">
        <f t="shared" si="9"/>
        <v>1.8834431143449661</v>
      </c>
      <c r="AP17">
        <f t="shared" si="9"/>
        <v>1.9085805162665253</v>
      </c>
      <c r="AQ17">
        <f t="shared" si="9"/>
        <v>1.9340534149018169</v>
      </c>
      <c r="AR17">
        <f t="shared" si="9"/>
        <v>1.9598662879627899</v>
      </c>
      <c r="AS17">
        <f t="shared" si="9"/>
        <v>1.9860236729232421</v>
      </c>
      <c r="AT17">
        <f t="shared" si="9"/>
        <v>2.012530167816434</v>
      </c>
      <c r="AU17">
        <f t="shared" si="9"/>
        <v>2.0393904320433456</v>
      </c>
      <c r="AV17">
        <f t="shared" si="10"/>
        <v>2.0666091871917245</v>
      </c>
      <c r="AW17">
        <f t="shared" si="10"/>
        <v>2.0941912178660571</v>
      </c>
      <c r="AX17">
        <f t="shared" si="10"/>
        <v>2.1221413725286293</v>
      </c>
      <c r="AY17">
        <f t="shared" si="10"/>
        <v>2.1504645643517986</v>
      </c>
      <c r="AZ17">
        <f t="shared" si="10"/>
        <v>2.1791657720816544</v>
      </c>
      <c r="BA17">
        <f t="shared" si="10"/>
        <v>2.2082500409131933</v>
      </c>
      <c r="BB17">
        <f t="shared" si="10"/>
        <v>2.2377224833771856</v>
      </c>
      <c r="BC17">
        <f t="shared" si="10"/>
        <v>2.2675882802388672</v>
      </c>
      <c r="BD17">
        <f t="shared" si="10"/>
        <v>2.2978526814086395</v>
      </c>
      <c r="BE17">
        <f t="shared" si="10"/>
        <v>2.3285210068649085</v>
      </c>
      <c r="BF17">
        <f t="shared" si="11"/>
        <v>100</v>
      </c>
      <c r="BG17" s="116">
        <f>SUM($G17:AA17)-$BF17</f>
        <v>47.665494160877557</v>
      </c>
      <c r="BH17" s="116">
        <f>SUM($G17:AK17)-$BF17</f>
        <v>64.504814193989546</v>
      </c>
      <c r="BI17" s="116">
        <f t="shared" si="14"/>
        <v>105.68400237307767</v>
      </c>
      <c r="BJ17" s="124">
        <f t="shared" si="12"/>
        <v>7.1999999999999993</v>
      </c>
      <c r="BK17" s="123"/>
      <c r="BL17">
        <f t="shared" si="13"/>
        <v>0</v>
      </c>
    </row>
    <row r="18" spans="1:64" x14ac:dyDescent="0.3">
      <c r="B18" t="s">
        <v>75</v>
      </c>
      <c r="C18">
        <v>0</v>
      </c>
      <c r="D18">
        <v>10</v>
      </c>
      <c r="E18">
        <v>0.04</v>
      </c>
      <c r="F18" s="3">
        <v>100</v>
      </c>
      <c r="G18" s="114">
        <f t="shared" si="4"/>
        <v>0</v>
      </c>
      <c r="H18">
        <f t="shared" si="6"/>
        <v>0</v>
      </c>
      <c r="I18">
        <f t="shared" si="6"/>
        <v>0</v>
      </c>
      <c r="J18">
        <f t="shared" si="6"/>
        <v>0</v>
      </c>
      <c r="K18">
        <f t="shared" si="6"/>
        <v>0</v>
      </c>
      <c r="L18">
        <f t="shared" si="6"/>
        <v>0</v>
      </c>
      <c r="M18">
        <f t="shared" si="6"/>
        <v>0</v>
      </c>
      <c r="N18">
        <f t="shared" si="6"/>
        <v>0</v>
      </c>
      <c r="O18">
        <f t="shared" si="6"/>
        <v>0</v>
      </c>
      <c r="P18">
        <f t="shared" si="6"/>
        <v>0</v>
      </c>
      <c r="Q18">
        <f t="shared" si="6"/>
        <v>0</v>
      </c>
      <c r="R18">
        <f t="shared" si="7"/>
        <v>0</v>
      </c>
      <c r="S18">
        <f t="shared" si="7"/>
        <v>0</v>
      </c>
      <c r="T18">
        <f t="shared" si="7"/>
        <v>0</v>
      </c>
      <c r="U18">
        <f t="shared" si="7"/>
        <v>0</v>
      </c>
      <c r="V18">
        <f t="shared" si="7"/>
        <v>0</v>
      </c>
      <c r="W18">
        <f t="shared" si="7"/>
        <v>0</v>
      </c>
      <c r="X18">
        <f t="shared" si="7"/>
        <v>0</v>
      </c>
      <c r="Y18">
        <f t="shared" si="7"/>
        <v>0</v>
      </c>
      <c r="Z18">
        <f t="shared" si="7"/>
        <v>0</v>
      </c>
      <c r="AA18">
        <f t="shared" si="7"/>
        <v>0</v>
      </c>
      <c r="AB18">
        <f t="shared" si="8"/>
        <v>0</v>
      </c>
      <c r="AC18">
        <f t="shared" si="8"/>
        <v>0</v>
      </c>
      <c r="AD18">
        <f t="shared" si="8"/>
        <v>0</v>
      </c>
      <c r="AE18">
        <f t="shared" si="8"/>
        <v>0</v>
      </c>
      <c r="AF18">
        <f t="shared" si="8"/>
        <v>0</v>
      </c>
      <c r="AG18">
        <f t="shared" si="8"/>
        <v>0</v>
      </c>
      <c r="AH18">
        <f t="shared" si="8"/>
        <v>0</v>
      </c>
      <c r="AI18">
        <f t="shared" si="8"/>
        <v>0</v>
      </c>
      <c r="AJ18">
        <f t="shared" si="8"/>
        <v>0</v>
      </c>
      <c r="AK18">
        <f t="shared" si="8"/>
        <v>0</v>
      </c>
      <c r="AL18">
        <f t="shared" si="9"/>
        <v>0</v>
      </c>
      <c r="AM18">
        <f t="shared" si="9"/>
        <v>0</v>
      </c>
      <c r="AN18">
        <f t="shared" si="9"/>
        <v>0</v>
      </c>
      <c r="AO18">
        <f t="shared" si="9"/>
        <v>0</v>
      </c>
      <c r="AP18">
        <f t="shared" si="9"/>
        <v>0</v>
      </c>
      <c r="AQ18">
        <f t="shared" si="9"/>
        <v>0</v>
      </c>
      <c r="AR18">
        <f t="shared" si="9"/>
        <v>0</v>
      </c>
      <c r="AS18">
        <f t="shared" si="9"/>
        <v>0</v>
      </c>
      <c r="AT18">
        <f t="shared" si="9"/>
        <v>0</v>
      </c>
      <c r="AU18">
        <f t="shared" si="9"/>
        <v>0</v>
      </c>
      <c r="AV18">
        <f t="shared" si="10"/>
        <v>0</v>
      </c>
      <c r="AW18">
        <f t="shared" si="10"/>
        <v>0</v>
      </c>
      <c r="AX18">
        <f t="shared" si="10"/>
        <v>0</v>
      </c>
      <c r="AY18">
        <f t="shared" si="10"/>
        <v>0</v>
      </c>
      <c r="AZ18">
        <f t="shared" si="10"/>
        <v>0</v>
      </c>
      <c r="BA18">
        <f t="shared" si="10"/>
        <v>0</v>
      </c>
      <c r="BB18">
        <f t="shared" si="10"/>
        <v>0</v>
      </c>
      <c r="BC18">
        <f t="shared" si="10"/>
        <v>0</v>
      </c>
      <c r="BD18">
        <f t="shared" si="10"/>
        <v>0</v>
      </c>
      <c r="BE18">
        <f t="shared" si="10"/>
        <v>0</v>
      </c>
      <c r="BF18">
        <f t="shared" si="11"/>
        <v>0</v>
      </c>
      <c r="BG18" s="116">
        <f>SUM($G18:AA18)-$BF18</f>
        <v>0</v>
      </c>
      <c r="BH18" s="116">
        <f>SUM($G18:AK18)-$BF18</f>
        <v>0</v>
      </c>
      <c r="BI18" s="116">
        <f t="shared" si="14"/>
        <v>0</v>
      </c>
      <c r="BJ18" s="124">
        <f t="shared" si="12"/>
        <v>0</v>
      </c>
      <c r="BK18" s="123"/>
      <c r="BL18">
        <f t="shared" si="13"/>
        <v>5</v>
      </c>
    </row>
    <row r="19" spans="1:64" x14ac:dyDescent="0.3">
      <c r="B19" t="s">
        <v>76</v>
      </c>
      <c r="C19">
        <v>0</v>
      </c>
      <c r="D19">
        <v>20</v>
      </c>
      <c r="E19">
        <f>Maintenance_products</f>
        <v>0.04</v>
      </c>
      <c r="F19" s="3">
        <v>12</v>
      </c>
      <c r="G19" s="114">
        <f t="shared" si="4"/>
        <v>0</v>
      </c>
      <c r="H19">
        <f t="shared" si="6"/>
        <v>0</v>
      </c>
      <c r="I19">
        <f t="shared" si="6"/>
        <v>0</v>
      </c>
      <c r="J19">
        <f t="shared" si="6"/>
        <v>0</v>
      </c>
      <c r="K19">
        <f t="shared" si="6"/>
        <v>0</v>
      </c>
      <c r="L19">
        <f t="shared" si="6"/>
        <v>0</v>
      </c>
      <c r="M19">
        <f t="shared" si="6"/>
        <v>0</v>
      </c>
      <c r="N19">
        <f t="shared" si="6"/>
        <v>0</v>
      </c>
      <c r="O19">
        <f t="shared" si="6"/>
        <v>0</v>
      </c>
      <c r="P19">
        <f t="shared" si="6"/>
        <v>0</v>
      </c>
      <c r="Q19">
        <f t="shared" si="6"/>
        <v>0</v>
      </c>
      <c r="R19">
        <f t="shared" si="7"/>
        <v>0</v>
      </c>
      <c r="S19">
        <f t="shared" si="7"/>
        <v>0</v>
      </c>
      <c r="T19">
        <f t="shared" si="7"/>
        <v>0</v>
      </c>
      <c r="U19">
        <f t="shared" si="7"/>
        <v>0</v>
      </c>
      <c r="V19">
        <f t="shared" si="7"/>
        <v>0</v>
      </c>
      <c r="W19">
        <f t="shared" si="7"/>
        <v>0</v>
      </c>
      <c r="X19">
        <f t="shared" si="7"/>
        <v>0</v>
      </c>
      <c r="Y19">
        <f t="shared" si="7"/>
        <v>0</v>
      </c>
      <c r="Z19">
        <f t="shared" si="7"/>
        <v>0</v>
      </c>
      <c r="AA19">
        <f t="shared" si="7"/>
        <v>0</v>
      </c>
      <c r="AB19">
        <f t="shared" si="8"/>
        <v>0</v>
      </c>
      <c r="AC19">
        <f t="shared" si="8"/>
        <v>0</v>
      </c>
      <c r="AD19">
        <f t="shared" si="8"/>
        <v>0</v>
      </c>
      <c r="AE19">
        <f t="shared" si="8"/>
        <v>0</v>
      </c>
      <c r="AF19">
        <f t="shared" si="8"/>
        <v>0</v>
      </c>
      <c r="AG19">
        <f t="shared" si="8"/>
        <v>0</v>
      </c>
      <c r="AH19">
        <f t="shared" si="8"/>
        <v>0</v>
      </c>
      <c r="AI19">
        <f t="shared" si="8"/>
        <v>0</v>
      </c>
      <c r="AJ19">
        <f t="shared" si="8"/>
        <v>0</v>
      </c>
      <c r="AK19">
        <f t="shared" si="8"/>
        <v>0</v>
      </c>
      <c r="AL19">
        <f t="shared" si="9"/>
        <v>0</v>
      </c>
      <c r="AM19">
        <f t="shared" si="9"/>
        <v>0</v>
      </c>
      <c r="AN19">
        <f t="shared" si="9"/>
        <v>0</v>
      </c>
      <c r="AO19">
        <f t="shared" si="9"/>
        <v>0</v>
      </c>
      <c r="AP19">
        <f t="shared" si="9"/>
        <v>0</v>
      </c>
      <c r="AQ19">
        <f t="shared" si="9"/>
        <v>0</v>
      </c>
      <c r="AR19">
        <f t="shared" si="9"/>
        <v>0</v>
      </c>
      <c r="AS19">
        <f t="shared" si="9"/>
        <v>0</v>
      </c>
      <c r="AT19">
        <f t="shared" si="9"/>
        <v>0</v>
      </c>
      <c r="AU19">
        <f t="shared" si="9"/>
        <v>0</v>
      </c>
      <c r="AV19">
        <f t="shared" si="10"/>
        <v>0</v>
      </c>
      <c r="AW19">
        <f t="shared" si="10"/>
        <v>0</v>
      </c>
      <c r="AX19">
        <f t="shared" si="10"/>
        <v>0</v>
      </c>
      <c r="AY19">
        <f t="shared" si="10"/>
        <v>0</v>
      </c>
      <c r="AZ19">
        <f t="shared" si="10"/>
        <v>0</v>
      </c>
      <c r="BA19">
        <f t="shared" si="10"/>
        <v>0</v>
      </c>
      <c r="BB19">
        <f t="shared" si="10"/>
        <v>0</v>
      </c>
      <c r="BC19">
        <f t="shared" si="10"/>
        <v>0</v>
      </c>
      <c r="BD19">
        <f t="shared" si="10"/>
        <v>0</v>
      </c>
      <c r="BE19">
        <f t="shared" si="10"/>
        <v>0</v>
      </c>
      <c r="BF19">
        <f t="shared" si="11"/>
        <v>0</v>
      </c>
      <c r="BG19" s="116">
        <f>SUM($G19:AA19)-$BF19</f>
        <v>0</v>
      </c>
      <c r="BH19" s="116">
        <f>SUM($G19:AK19)-$BF19</f>
        <v>0</v>
      </c>
      <c r="BI19" s="116">
        <f t="shared" si="14"/>
        <v>0</v>
      </c>
      <c r="BJ19" s="124">
        <f t="shared" si="12"/>
        <v>0</v>
      </c>
      <c r="BK19" s="123"/>
      <c r="BL19">
        <f t="shared" si="13"/>
        <v>2</v>
      </c>
    </row>
    <row r="20" spans="1:64" x14ac:dyDescent="0.3">
      <c r="A20" t="s">
        <v>3</v>
      </c>
      <c r="B20" t="s">
        <v>79</v>
      </c>
      <c r="C20">
        <v>1</v>
      </c>
      <c r="D20">
        <v>20</v>
      </c>
      <c r="E20">
        <v>0.05</v>
      </c>
      <c r="F20" s="3">
        <v>6000</v>
      </c>
      <c r="G20" s="114">
        <f t="shared" si="4"/>
        <v>6000</v>
      </c>
      <c r="H20">
        <f t="shared" si="6"/>
        <v>304.00395452298562</v>
      </c>
      <c r="I20">
        <f t="shared" si="6"/>
        <v>308.06134788537838</v>
      </c>
      <c r="J20">
        <f t="shared" si="6"/>
        <v>312.17289330945408</v>
      </c>
      <c r="K20">
        <f t="shared" si="6"/>
        <v>316.33931353652036</v>
      </c>
      <c r="L20">
        <f t="shared" si="6"/>
        <v>320.56134095396271</v>
      </c>
      <c r="M20">
        <f t="shared" si="6"/>
        <v>324.83971772398593</v>
      </c>
      <c r="N20">
        <f t="shared" si="6"/>
        <v>329.1751959140737</v>
      </c>
      <c r="O20">
        <f t="shared" si="6"/>
        <v>333.56853762918973</v>
      </c>
      <c r="P20">
        <f t="shared" si="6"/>
        <v>338.02051514574339</v>
      </c>
      <c r="Q20">
        <f t="shared" si="6"/>
        <v>342.53191104734242</v>
      </c>
      <c r="R20">
        <f t="shared" si="7"/>
        <v>347.10351836235884</v>
      </c>
      <c r="S20">
        <f t="shared" si="7"/>
        <v>351.73614070332945</v>
      </c>
      <c r="T20">
        <f t="shared" si="7"/>
        <v>356.4305924082181</v>
      </c>
      <c r="U20">
        <f t="shared" si="7"/>
        <v>361.18769868356253</v>
      </c>
      <c r="V20">
        <f t="shared" si="7"/>
        <v>366.00829574953195</v>
      </c>
      <c r="W20">
        <f t="shared" si="7"/>
        <v>370.89323098692051</v>
      </c>
      <c r="X20">
        <f t="shared" si="7"/>
        <v>375.8433630861033</v>
      </c>
      <c r="Y20">
        <f t="shared" si="7"/>
        <v>380.85956219797907</v>
      </c>
      <c r="Z20">
        <f t="shared" si="7"/>
        <v>385.94271008692886</v>
      </c>
      <c r="AA20">
        <f t="shared" si="7"/>
        <v>8212.9677060021168</v>
      </c>
      <c r="AB20">
        <f t="shared" si="8"/>
        <v>396.31343825305032</v>
      </c>
      <c r="AC20">
        <f t="shared" si="8"/>
        <v>401.60284153176121</v>
      </c>
      <c r="AD20">
        <f t="shared" si="8"/>
        <v>406.96283991107782</v>
      </c>
      <c r="AE20">
        <f t="shared" si="8"/>
        <v>412.39437558957457</v>
      </c>
      <c r="AF20">
        <f t="shared" si="8"/>
        <v>417.89840334089359</v>
      </c>
      <c r="AG20">
        <f t="shared" si="8"/>
        <v>423.47589068157765</v>
      </c>
      <c r="AH20">
        <f t="shared" si="8"/>
        <v>429.12781804114388</v>
      </c>
      <c r="AI20">
        <f t="shared" si="8"/>
        <v>434.85517893442653</v>
      </c>
      <c r="AJ20">
        <f t="shared" si="8"/>
        <v>440.65898013622052</v>
      </c>
      <c r="AK20">
        <f t="shared" si="8"/>
        <v>446.54024185825602</v>
      </c>
      <c r="AL20">
        <f t="shared" si="9"/>
        <v>452.49999792853424</v>
      </c>
      <c r="AM20">
        <f t="shared" si="9"/>
        <v>458.53929597305734</v>
      </c>
      <c r="AN20">
        <f t="shared" si="9"/>
        <v>464.65919759998388</v>
      </c>
      <c r="AO20">
        <f t="shared" si="9"/>
        <v>470.86077858624157</v>
      </c>
      <c r="AP20">
        <f t="shared" si="9"/>
        <v>477.14512906663134</v>
      </c>
      <c r="AQ20">
        <f t="shared" si="9"/>
        <v>483.51335372545424</v>
      </c>
      <c r="AR20">
        <f t="shared" si="9"/>
        <v>489.9665719906975</v>
      </c>
      <c r="AS20">
        <f t="shared" si="9"/>
        <v>496.50591823081055</v>
      </c>
      <c r="AT20">
        <f t="shared" si="9"/>
        <v>503.13254195410855</v>
      </c>
      <c r="AU20">
        <f t="shared" si="9"/>
        <v>10706.799768227565</v>
      </c>
      <c r="AV20">
        <f t="shared" si="10"/>
        <v>516.65229679793106</v>
      </c>
      <c r="AW20">
        <f t="shared" si="10"/>
        <v>523.54780446651432</v>
      </c>
      <c r="AX20">
        <f t="shared" si="10"/>
        <v>530.53534313215732</v>
      </c>
      <c r="AY20">
        <f t="shared" si="10"/>
        <v>537.6161410879497</v>
      </c>
      <c r="AZ20">
        <f t="shared" si="10"/>
        <v>544.79144302041368</v>
      </c>
      <c r="BA20">
        <f t="shared" si="10"/>
        <v>552.06251022829838</v>
      </c>
      <c r="BB20">
        <f t="shared" si="10"/>
        <v>559.43062084429641</v>
      </c>
      <c r="BC20">
        <f t="shared" si="10"/>
        <v>566.89707005971684</v>
      </c>
      <c r="BD20">
        <f t="shared" si="10"/>
        <v>574.46317035215986</v>
      </c>
      <c r="BE20">
        <f t="shared" si="10"/>
        <v>582.13025171622712</v>
      </c>
      <c r="BF20">
        <f t="shared" si="11"/>
        <v>5098.4760801083648</v>
      </c>
      <c r="BG20" s="116">
        <f>SUM($G20:AA20)-$BF20</f>
        <v>15639.771465827322</v>
      </c>
      <c r="BH20" s="116">
        <f>SUM($G20:AK20)-$BF20</f>
        <v>19849.6014741053</v>
      </c>
      <c r="BI20" s="116">
        <f t="shared" si="14"/>
        <v>40341.350679094045</v>
      </c>
      <c r="BJ20" s="124">
        <f>$G20*demolition_2</f>
        <v>120</v>
      </c>
      <c r="BK20" s="123"/>
      <c r="BL20">
        <f t="shared" si="13"/>
        <v>2</v>
      </c>
    </row>
    <row r="21" spans="1:64" x14ac:dyDescent="0.3">
      <c r="B21" t="s">
        <v>78</v>
      </c>
      <c r="C21">
        <v>1</v>
      </c>
      <c r="D21">
        <v>40</v>
      </c>
      <c r="E21">
        <v>0.01</v>
      </c>
      <c r="F21" s="3">
        <v>1270</v>
      </c>
      <c r="G21" s="114">
        <f t="shared" si="4"/>
        <v>1270</v>
      </c>
      <c r="H21">
        <f t="shared" si="6"/>
        <v>12.869500741473059</v>
      </c>
      <c r="I21">
        <f t="shared" si="6"/>
        <v>13.041263727147685</v>
      </c>
      <c r="J21">
        <f t="shared" si="6"/>
        <v>13.215319150100223</v>
      </c>
      <c r="K21">
        <f t="shared" si="6"/>
        <v>13.391697606379362</v>
      </c>
      <c r="L21">
        <f t="shared" si="6"/>
        <v>13.570430100384424</v>
      </c>
      <c r="M21">
        <f t="shared" si="6"/>
        <v>13.751548050315405</v>
      </c>
      <c r="N21">
        <f t="shared" si="6"/>
        <v>13.935083293695788</v>
      </c>
      <c r="O21">
        <f t="shared" si="6"/>
        <v>14.121068092969033</v>
      </c>
      <c r="P21">
        <f t="shared" si="6"/>
        <v>14.309535141169805</v>
      </c>
      <c r="Q21">
        <f t="shared" si="6"/>
        <v>14.50051756767083</v>
      </c>
      <c r="R21">
        <f t="shared" si="7"/>
        <v>14.694048944006527</v>
      </c>
      <c r="S21">
        <f t="shared" si="7"/>
        <v>14.890163289774282</v>
      </c>
      <c r="T21">
        <f t="shared" si="7"/>
        <v>15.088895078614568</v>
      </c>
      <c r="U21">
        <f t="shared" si="7"/>
        <v>15.290279244270813</v>
      </c>
      <c r="V21">
        <f t="shared" si="7"/>
        <v>15.494351186730189</v>
      </c>
      <c r="W21">
        <f t="shared" si="7"/>
        <v>15.701146778446304</v>
      </c>
      <c r="X21">
        <f t="shared" si="7"/>
        <v>15.910702370645042</v>
      </c>
      <c r="Y21">
        <f t="shared" si="7"/>
        <v>16.123054799714449</v>
      </c>
      <c r="Z21">
        <f t="shared" si="7"/>
        <v>16.33824139367999</v>
      </c>
      <c r="AA21">
        <f t="shared" si="7"/>
        <v>16.556299978766173</v>
      </c>
      <c r="AB21">
        <f t="shared" si="8"/>
        <v>16.7772688860458</v>
      </c>
      <c r="AC21">
        <f t="shared" si="8"/>
        <v>17.001186958177893</v>
      </c>
      <c r="AD21">
        <f t="shared" si="8"/>
        <v>17.228093556235631</v>
      </c>
      <c r="AE21">
        <f t="shared" si="8"/>
        <v>17.458028566625323</v>
      </c>
      <c r="AF21">
        <f t="shared" si="8"/>
        <v>17.691032408097829</v>
      </c>
      <c r="AG21">
        <f t="shared" si="8"/>
        <v>17.927146038853454</v>
      </c>
      <c r="AH21">
        <f t="shared" si="8"/>
        <v>18.166410963741761</v>
      </c>
      <c r="AI21">
        <f t="shared" si="8"/>
        <v>18.40886924155739</v>
      </c>
      <c r="AJ21">
        <f t="shared" si="8"/>
        <v>18.654563492433336</v>
      </c>
      <c r="AK21">
        <f t="shared" si="8"/>
        <v>18.903536905332839</v>
      </c>
      <c r="AL21">
        <f t="shared" si="9"/>
        <v>19.155833245641286</v>
      </c>
      <c r="AM21">
        <f t="shared" si="9"/>
        <v>19.411496862859426</v>
      </c>
      <c r="AN21">
        <f t="shared" si="9"/>
        <v>19.670572698399319</v>
      </c>
      <c r="AO21">
        <f t="shared" si="9"/>
        <v>19.933106293484229</v>
      </c>
      <c r="AP21">
        <f t="shared" si="9"/>
        <v>20.199143797154061</v>
      </c>
      <c r="AQ21">
        <f t="shared" si="9"/>
        <v>20.468731974377565</v>
      </c>
      <c r="AR21">
        <f t="shared" si="9"/>
        <v>20.741918214272864</v>
      </c>
      <c r="AS21">
        <f t="shared" si="9"/>
        <v>21.018750538437647</v>
      </c>
      <c r="AT21">
        <f t="shared" si="9"/>
        <v>21.299277609390597</v>
      </c>
      <c r="AU21">
        <f t="shared" si="9"/>
        <v>2179.9384226516663</v>
      </c>
      <c r="AV21">
        <f t="shared" si="10"/>
        <v>21.871613897779085</v>
      </c>
      <c r="AW21">
        <f t="shared" si="10"/>
        <v>22.163523722415771</v>
      </c>
      <c r="AX21">
        <f t="shared" si="10"/>
        <v>22.459329525927998</v>
      </c>
      <c r="AY21">
        <f t="shared" si="10"/>
        <v>22.759083306056539</v>
      </c>
      <c r="AZ21">
        <f t="shared" si="10"/>
        <v>23.062837754530847</v>
      </c>
      <c r="BA21">
        <f t="shared" si="10"/>
        <v>23.370646266331299</v>
      </c>
      <c r="BB21">
        <f t="shared" si="10"/>
        <v>23.682562949075219</v>
      </c>
      <c r="BC21">
        <f t="shared" si="10"/>
        <v>23.998642632528014</v>
      </c>
      <c r="BD21">
        <f t="shared" si="10"/>
        <v>24.318940878241438</v>
      </c>
      <c r="BE21">
        <f t="shared" si="10"/>
        <v>24.643513989320287</v>
      </c>
      <c r="BF21">
        <f t="shared" si="11"/>
        <v>539.58871847813521</v>
      </c>
      <c r="BG21" s="116">
        <f>SUM($G21:AA21)-$BF21</f>
        <v>1023.2044280578189</v>
      </c>
      <c r="BH21" s="116">
        <f>SUM($G21:AK21)-$BF21</f>
        <v>1201.4205650749195</v>
      </c>
      <c r="BI21" s="116">
        <f t="shared" si="14"/>
        <v>3795.5885138828089</v>
      </c>
      <c r="BJ21" s="124">
        <f t="shared" si="12"/>
        <v>76.2</v>
      </c>
      <c r="BK21" s="123"/>
      <c r="BL21">
        <f t="shared" si="13"/>
        <v>1</v>
      </c>
    </row>
    <row r="22" spans="1:64" x14ac:dyDescent="0.3">
      <c r="B22" t="s">
        <v>77</v>
      </c>
      <c r="C22">
        <v>0</v>
      </c>
      <c r="D22">
        <v>50</v>
      </c>
      <c r="E22">
        <v>0.01</v>
      </c>
      <c r="F22" s="3">
        <v>10</v>
      </c>
      <c r="G22" s="114">
        <f t="shared" si="4"/>
        <v>0</v>
      </c>
      <c r="H22">
        <f t="shared" si="6"/>
        <v>0</v>
      </c>
      <c r="I22">
        <f t="shared" si="6"/>
        <v>0</v>
      </c>
      <c r="J22">
        <f t="shared" si="6"/>
        <v>0</v>
      </c>
      <c r="K22">
        <f t="shared" si="6"/>
        <v>0</v>
      </c>
      <c r="L22">
        <f t="shared" si="6"/>
        <v>0</v>
      </c>
      <c r="M22">
        <f t="shared" si="6"/>
        <v>0</v>
      </c>
      <c r="N22">
        <f t="shared" si="6"/>
        <v>0</v>
      </c>
      <c r="O22">
        <f t="shared" si="6"/>
        <v>0</v>
      </c>
      <c r="P22">
        <f t="shared" si="6"/>
        <v>0</v>
      </c>
      <c r="Q22">
        <f t="shared" si="6"/>
        <v>0</v>
      </c>
      <c r="R22">
        <f t="shared" si="7"/>
        <v>0</v>
      </c>
      <c r="S22">
        <f t="shared" si="7"/>
        <v>0</v>
      </c>
      <c r="T22">
        <f t="shared" si="7"/>
        <v>0</v>
      </c>
      <c r="U22">
        <f t="shared" si="7"/>
        <v>0</v>
      </c>
      <c r="V22">
        <f t="shared" si="7"/>
        <v>0</v>
      </c>
      <c r="W22">
        <f t="shared" si="7"/>
        <v>0</v>
      </c>
      <c r="X22">
        <f t="shared" si="7"/>
        <v>0</v>
      </c>
      <c r="Y22">
        <f t="shared" si="7"/>
        <v>0</v>
      </c>
      <c r="Z22">
        <f t="shared" si="7"/>
        <v>0</v>
      </c>
      <c r="AA22">
        <f t="shared" si="7"/>
        <v>0</v>
      </c>
      <c r="AB22">
        <f t="shared" si="8"/>
        <v>0</v>
      </c>
      <c r="AC22">
        <f t="shared" si="8"/>
        <v>0</v>
      </c>
      <c r="AD22">
        <f t="shared" si="8"/>
        <v>0</v>
      </c>
      <c r="AE22">
        <f t="shared" si="8"/>
        <v>0</v>
      </c>
      <c r="AF22">
        <f t="shared" si="8"/>
        <v>0</v>
      </c>
      <c r="AG22">
        <f t="shared" si="8"/>
        <v>0</v>
      </c>
      <c r="AH22">
        <f t="shared" si="8"/>
        <v>0</v>
      </c>
      <c r="AI22">
        <f t="shared" si="8"/>
        <v>0</v>
      </c>
      <c r="AJ22">
        <f t="shared" si="8"/>
        <v>0</v>
      </c>
      <c r="AK22">
        <f t="shared" si="8"/>
        <v>0</v>
      </c>
      <c r="AL22">
        <f t="shared" si="9"/>
        <v>0</v>
      </c>
      <c r="AM22">
        <f t="shared" si="9"/>
        <v>0</v>
      </c>
      <c r="AN22">
        <f t="shared" si="9"/>
        <v>0</v>
      </c>
      <c r="AO22">
        <f t="shared" si="9"/>
        <v>0</v>
      </c>
      <c r="AP22">
        <f t="shared" si="9"/>
        <v>0</v>
      </c>
      <c r="AQ22">
        <f t="shared" si="9"/>
        <v>0</v>
      </c>
      <c r="AR22">
        <f t="shared" si="9"/>
        <v>0</v>
      </c>
      <c r="AS22">
        <f t="shared" si="9"/>
        <v>0</v>
      </c>
      <c r="AT22">
        <f t="shared" si="9"/>
        <v>0</v>
      </c>
      <c r="AU22">
        <f t="shared" si="9"/>
        <v>0</v>
      </c>
      <c r="AV22">
        <f t="shared" si="10"/>
        <v>0</v>
      </c>
      <c r="AW22">
        <f t="shared" si="10"/>
        <v>0</v>
      </c>
      <c r="AX22">
        <f t="shared" si="10"/>
        <v>0</v>
      </c>
      <c r="AY22">
        <f t="shared" si="10"/>
        <v>0</v>
      </c>
      <c r="AZ22">
        <f t="shared" si="10"/>
        <v>0</v>
      </c>
      <c r="BA22">
        <f t="shared" si="10"/>
        <v>0</v>
      </c>
      <c r="BB22">
        <f t="shared" si="10"/>
        <v>0</v>
      </c>
      <c r="BC22">
        <f t="shared" si="10"/>
        <v>0</v>
      </c>
      <c r="BD22">
        <f t="shared" si="10"/>
        <v>0</v>
      </c>
      <c r="BE22">
        <f t="shared" si="10"/>
        <v>0</v>
      </c>
      <c r="BF22">
        <f t="shared" si="11"/>
        <v>0</v>
      </c>
      <c r="BG22" s="116">
        <f>SUM($G22:AA22)-$BF22</f>
        <v>0</v>
      </c>
      <c r="BH22" s="116">
        <f>SUM($G22:AK22)-$BF22</f>
        <v>0</v>
      </c>
      <c r="BI22" s="116">
        <f t="shared" si="14"/>
        <v>0</v>
      </c>
      <c r="BJ22" s="124">
        <f t="shared" si="12"/>
        <v>0</v>
      </c>
      <c r="BK22" s="123"/>
      <c r="BL22">
        <f t="shared" si="13"/>
        <v>1</v>
      </c>
    </row>
    <row r="23" spans="1:64" x14ac:dyDescent="0.3">
      <c r="B23" s="118" t="s">
        <v>410</v>
      </c>
      <c r="C23">
        <v>1</v>
      </c>
      <c r="D23">
        <v>12</v>
      </c>
      <c r="E23">
        <v>0.01</v>
      </c>
      <c r="F23" s="3">
        <v>84</v>
      </c>
      <c r="G23" s="114">
        <f t="shared" si="4"/>
        <v>84</v>
      </c>
      <c r="H23">
        <f>$G23*(IF(H$1&lt;$D23,0,IF(H$1/ROUNDDOWN(H$1/$D23,0)/$D23=1,1,0)))*((1+Inflation_products)/(1+Discount_rate))^(H$1)</f>
        <v>0</v>
      </c>
      <c r="I23">
        <f t="shared" ref="I23:R23" si="15">$G23*($E23+IF(I$1&lt;$D23,0,IF(I$1/ROUNDDOWN(I$1/$D23,0)/$D23=1,1,0)))*((1+Inflation_products)/(1+Discount_rate))^(I$1)</f>
        <v>0.86257177407905938</v>
      </c>
      <c r="J23">
        <f t="shared" si="15"/>
        <v>0.8740841012664714</v>
      </c>
      <c r="K23">
        <f t="shared" si="15"/>
        <v>0.8857500779022569</v>
      </c>
      <c r="L23">
        <f t="shared" si="15"/>
        <v>0.89757175467109562</v>
      </c>
      <c r="M23">
        <f t="shared" si="15"/>
        <v>0.90955120962716052</v>
      </c>
      <c r="N23">
        <f t="shared" si="15"/>
        <v>0.92169054855940635</v>
      </c>
      <c r="O23">
        <f t="shared" si="15"/>
        <v>0.93399190536173116</v>
      </c>
      <c r="P23">
        <f t="shared" si="15"/>
        <v>0.9464574424080815</v>
      </c>
      <c r="Q23">
        <f t="shared" si="15"/>
        <v>0.95908935093255876</v>
      </c>
      <c r="R23">
        <f t="shared" si="15"/>
        <v>0.97188985141460482</v>
      </c>
      <c r="S23">
        <f>$G23*(IF(S$1&lt;$D23,0,IF(S$1/ROUNDDOWN(S$1/$D23,0)/$D23=1,1,0)))*((1+Inflation_products)/(1+Discount_rate))^(S$1)</f>
        <v>98.486119396932253</v>
      </c>
      <c r="T23">
        <f t="shared" ref="T23:BE23" si="16">$G23*($E23+IF(T$1&lt;$D23,0,IF(T$1/ROUNDDOWN(T$1/$D23,0)/$D23=1,1,0)))*((1+Inflation_products)/(1+Discount_rate))^(T$1)</f>
        <v>0.99800565874301073</v>
      </c>
      <c r="U23">
        <f t="shared" si="16"/>
        <v>1.0113255563139749</v>
      </c>
      <c r="V23">
        <f t="shared" si="16"/>
        <v>1.0248232280986895</v>
      </c>
      <c r="W23">
        <f t="shared" si="16"/>
        <v>1.0385010467633775</v>
      </c>
      <c r="X23">
        <f t="shared" si="16"/>
        <v>1.0523614166410893</v>
      </c>
      <c r="Y23">
        <f t="shared" si="16"/>
        <v>1.0664067741543413</v>
      </c>
      <c r="Z23">
        <f t="shared" si="16"/>
        <v>1.0806395882434008</v>
      </c>
      <c r="AA23">
        <f t="shared" si="16"/>
        <v>1.0950623608002821</v>
      </c>
      <c r="AB23">
        <f t="shared" si="16"/>
        <v>1.1096776271085409</v>
      </c>
      <c r="AC23">
        <f t="shared" si="16"/>
        <v>1.1244879562889314</v>
      </c>
      <c r="AD23">
        <f t="shared" si="16"/>
        <v>1.1394959517510179</v>
      </c>
      <c r="AE23">
        <f t="shared" si="16"/>
        <v>116.62512941673168</v>
      </c>
      <c r="AF23">
        <f t="shared" si="16"/>
        <v>1.170115529354502</v>
      </c>
      <c r="AG23">
        <f t="shared" si="16"/>
        <v>1.1857324939084173</v>
      </c>
      <c r="AH23">
        <f t="shared" si="16"/>
        <v>1.2015578905152029</v>
      </c>
      <c r="AI23">
        <f t="shared" si="16"/>
        <v>1.2175945010163942</v>
      </c>
      <c r="AJ23">
        <f t="shared" si="16"/>
        <v>1.2338451443814173</v>
      </c>
      <c r="AK23">
        <f t="shared" si="16"/>
        <v>1.2503126772031168</v>
      </c>
      <c r="AL23">
        <f t="shared" si="16"/>
        <v>1.266999994199896</v>
      </c>
      <c r="AM23">
        <f t="shared" si="16"/>
        <v>1.2839100287245604</v>
      </c>
      <c r="AN23">
        <f t="shared" si="16"/>
        <v>1.3010457532799549</v>
      </c>
      <c r="AO23">
        <f t="shared" si="16"/>
        <v>1.3184101800414765</v>
      </c>
      <c r="AP23">
        <f t="shared" si="16"/>
        <v>1.3360063613865678</v>
      </c>
      <c r="AQ23">
        <f t="shared" si="16"/>
        <v>136.73757643355847</v>
      </c>
      <c r="AR23">
        <f t="shared" si="16"/>
        <v>1.371906401573953</v>
      </c>
      <c r="AS23">
        <f t="shared" si="16"/>
        <v>1.3902165710462695</v>
      </c>
      <c r="AT23">
        <f t="shared" si="16"/>
        <v>1.4087711174715039</v>
      </c>
      <c r="AU23">
        <f t="shared" si="16"/>
        <v>1.4275733024303421</v>
      </c>
      <c r="AV23">
        <f t="shared" si="16"/>
        <v>1.446626431034207</v>
      </c>
      <c r="AW23">
        <f t="shared" si="16"/>
        <v>1.46593385250624</v>
      </c>
      <c r="AX23">
        <f t="shared" si="16"/>
        <v>1.4854989607700406</v>
      </c>
      <c r="AY23">
        <f t="shared" si="16"/>
        <v>1.5053251950462592</v>
      </c>
      <c r="AZ23">
        <f t="shared" si="16"/>
        <v>1.5254160404571582</v>
      </c>
      <c r="BA23">
        <f t="shared" si="16"/>
        <v>1.5457750286392353</v>
      </c>
      <c r="BB23">
        <f t="shared" si="16"/>
        <v>1.56640573836403</v>
      </c>
      <c r="BC23">
        <f t="shared" si="16"/>
        <v>160.31849141288794</v>
      </c>
      <c r="BD23">
        <f t="shared" si="16"/>
        <v>1.6084968769860477</v>
      </c>
      <c r="BE23">
        <f t="shared" si="16"/>
        <v>1.629964704805436</v>
      </c>
      <c r="BF23">
        <f t="shared" si="11"/>
        <v>26.455196602786785</v>
      </c>
      <c r="BG23" s="116">
        <f>SUM($G23:AA23)-$BF23</f>
        <v>173.56069644012604</v>
      </c>
      <c r="BH23" s="116">
        <f>SUM($G23:AK23)-$BF23</f>
        <v>300.81864562838524</v>
      </c>
      <c r="BI23" s="116">
        <f t="shared" si="14"/>
        <v>623.7589960135947</v>
      </c>
      <c r="BJ23" s="124">
        <f t="shared" si="12"/>
        <v>5.04</v>
      </c>
      <c r="BK23" s="123"/>
      <c r="BL23">
        <f t="shared" si="13"/>
        <v>4</v>
      </c>
    </row>
    <row r="24" spans="1:64" x14ac:dyDescent="0.3">
      <c r="C24">
        <v>0</v>
      </c>
      <c r="D24">
        <v>1</v>
      </c>
      <c r="F24" s="3"/>
      <c r="G24" s="114"/>
      <c r="H24">
        <f>$G23*$E23*((1+Inflation_products)/(1+Discount_rate))^(H$1)</f>
        <v>0.85121107266435969</v>
      </c>
      <c r="BF24">
        <f t="shared" si="11"/>
        <v>0</v>
      </c>
      <c r="BG24" s="116">
        <f>SUM($G24:AA24)-$BF24</f>
        <v>0.85121107266435969</v>
      </c>
      <c r="BH24" s="116">
        <f>SUM($G24:AK24)-$BF24</f>
        <v>0.85121107266435969</v>
      </c>
      <c r="BI24" s="116">
        <f t="shared" si="14"/>
        <v>0.85121107266435969</v>
      </c>
      <c r="BJ24" s="124"/>
      <c r="BK24" s="123"/>
      <c r="BL24">
        <f t="shared" si="13"/>
        <v>50</v>
      </c>
    </row>
    <row r="25" spans="1:64" x14ac:dyDescent="0.3">
      <c r="B25" t="s">
        <v>70</v>
      </c>
      <c r="C25">
        <v>1</v>
      </c>
      <c r="D25">
        <v>20</v>
      </c>
      <c r="E25">
        <v>5.0000000000000001E-3</v>
      </c>
      <c r="F25" s="3">
        <v>534</v>
      </c>
      <c r="G25" s="114">
        <f t="shared" si="4"/>
        <v>534</v>
      </c>
      <c r="H25">
        <f t="shared" ref="H25:Q27" si="17">$G25*($E25+IF(H$1&lt;$D25,0,IF(H$1/ROUNDDOWN(H$1/$D25,0)/$D25=1,1,0)))*((1+Inflation_products)/(1+Discount_rate))^(H$1)</f>
        <v>2.7056351952545721</v>
      </c>
      <c r="I25">
        <f t="shared" si="17"/>
        <v>2.7417459961798674</v>
      </c>
      <c r="J25">
        <f t="shared" si="17"/>
        <v>2.7783387504541412</v>
      </c>
      <c r="K25">
        <f t="shared" si="17"/>
        <v>2.8154198904750309</v>
      </c>
      <c r="L25">
        <f t="shared" si="17"/>
        <v>2.8529959344902682</v>
      </c>
      <c r="M25">
        <f t="shared" si="17"/>
        <v>2.8910734877434745</v>
      </c>
      <c r="N25">
        <f t="shared" si="17"/>
        <v>2.929659243635256</v>
      </c>
      <c r="O25">
        <f t="shared" si="17"/>
        <v>2.9687599848997883</v>
      </c>
      <c r="P25">
        <f t="shared" si="17"/>
        <v>3.0083825847971162</v>
      </c>
      <c r="Q25">
        <f t="shared" si="17"/>
        <v>3.0485340083213472</v>
      </c>
      <c r="R25">
        <f t="shared" ref="R25:AA27" si="18">$G25*($E25+IF(R$1&lt;$D25,0,IF(R$1/ROUNDDOWN(R$1/$D25,0)/$D25=1,1,0)))*((1+Inflation_products)/(1+Discount_rate))^(R$1)</f>
        <v>3.0892213134249937</v>
      </c>
      <c r="S25">
        <f t="shared" si="18"/>
        <v>3.130451652259632</v>
      </c>
      <c r="T25">
        <f t="shared" si="18"/>
        <v>3.1722322724331411</v>
      </c>
      <c r="U25">
        <f t="shared" si="18"/>
        <v>3.2145705182837063</v>
      </c>
      <c r="V25">
        <f t="shared" si="18"/>
        <v>3.2574738321708345</v>
      </c>
      <c r="W25">
        <f t="shared" si="18"/>
        <v>3.3009497557835927</v>
      </c>
      <c r="X25">
        <f t="shared" si="18"/>
        <v>3.3450059314663192</v>
      </c>
      <c r="Y25">
        <f t="shared" si="18"/>
        <v>3.3896501035620137</v>
      </c>
      <c r="Z25">
        <f t="shared" si="18"/>
        <v>3.4348901197736668</v>
      </c>
      <c r="AA25">
        <f t="shared" si="18"/>
        <v>699.62752044129445</v>
      </c>
      <c r="AB25">
        <f t="shared" ref="AB25:AK27" si="19">$G25*($E25+IF(AB$1&lt;$D25,0,IF(AB$1/ROUNDDOWN(AB$1/$D25,0)/$D25=1,1,0)))*((1+Inflation_products)/(1+Discount_rate))^(AB$1)</f>
        <v>3.5271896004521479</v>
      </c>
      <c r="AC25">
        <f t="shared" si="19"/>
        <v>3.5742652896326748</v>
      </c>
      <c r="AD25">
        <f t="shared" si="19"/>
        <v>3.6219692752085928</v>
      </c>
      <c r="AE25">
        <f t="shared" si="19"/>
        <v>3.6703099427472132</v>
      </c>
      <c r="AF25">
        <f t="shared" si="19"/>
        <v>3.7192957897339531</v>
      </c>
      <c r="AG25">
        <f t="shared" si="19"/>
        <v>3.7689354270660411</v>
      </c>
      <c r="AH25">
        <f t="shared" si="19"/>
        <v>3.8192375805661807</v>
      </c>
      <c r="AI25">
        <f t="shared" si="19"/>
        <v>3.8702110925163957</v>
      </c>
      <c r="AJ25">
        <f t="shared" si="19"/>
        <v>3.9218649232123628</v>
      </c>
      <c r="AK25">
        <f t="shared" si="19"/>
        <v>3.9742081525384783</v>
      </c>
      <c r="AL25">
        <f t="shared" ref="AL25:AU27" si="20">$G25*($E25+IF(AL$1&lt;$D25,0,IF(AL$1/ROUNDDOWN(AL$1/$D25,0)/$D25=1,1,0)))*((1+Inflation_products)/(1+Discount_rate))^(AL$1)</f>
        <v>4.0272499815639549</v>
      </c>
      <c r="AM25">
        <f t="shared" si="20"/>
        <v>4.0809997341602102</v>
      </c>
      <c r="AN25">
        <f t="shared" si="20"/>
        <v>4.1354668586398562</v>
      </c>
      <c r="AO25">
        <f t="shared" si="20"/>
        <v>4.1906609294175503</v>
      </c>
      <c r="AP25">
        <f t="shared" si="20"/>
        <v>4.2465916486930189</v>
      </c>
      <c r="AQ25">
        <f t="shared" si="20"/>
        <v>4.3032688481565424</v>
      </c>
      <c r="AR25">
        <f t="shared" si="20"/>
        <v>4.3607024907172081</v>
      </c>
      <c r="AS25">
        <f t="shared" si="20"/>
        <v>4.4189026722542142</v>
      </c>
      <c r="AT25">
        <f t="shared" si="20"/>
        <v>4.4778796233915656</v>
      </c>
      <c r="AU25">
        <f t="shared" si="20"/>
        <v>912.06638597058532</v>
      </c>
      <c r="AV25">
        <f t="shared" ref="AV25:BE27" si="21">$G25*($E25+IF(AV$1&lt;$D25,0,IF(AV$1/ROUNDDOWN(AV$1/$D25,0)/$D25=1,1,0)))*((1+Inflation_products)/(1+Discount_rate))^(AV$1)</f>
        <v>4.5982054415015865</v>
      </c>
      <c r="AW25">
        <f t="shared" si="21"/>
        <v>4.6595754597519772</v>
      </c>
      <c r="AX25">
        <f t="shared" si="21"/>
        <v>4.7217645538762003</v>
      </c>
      <c r="AY25">
        <f t="shared" si="21"/>
        <v>4.7847836556827525</v>
      </c>
      <c r="AZ25">
        <f t="shared" si="21"/>
        <v>4.8486438428816809</v>
      </c>
      <c r="BA25">
        <f t="shared" si="21"/>
        <v>4.9133563410318555</v>
      </c>
      <c r="BB25">
        <f t="shared" si="21"/>
        <v>4.9789325255142378</v>
      </c>
      <c r="BC25">
        <f t="shared" si="21"/>
        <v>5.0453839235314799</v>
      </c>
      <c r="BD25">
        <f t="shared" si="21"/>
        <v>5.1127222161342232</v>
      </c>
      <c r="BE25">
        <f t="shared" si="21"/>
        <v>5.1809592402744213</v>
      </c>
      <c r="BF25">
        <f t="shared" si="11"/>
        <v>453.76437112964447</v>
      </c>
      <c r="BG25" s="116">
        <f>SUM($G25:AA25)-$BF25</f>
        <v>837.93813988705836</v>
      </c>
      <c r="BH25" s="116">
        <f>SUM($G25:AK25)-$BF25</f>
        <v>875.40562696073232</v>
      </c>
      <c r="BI25" s="116">
        <f t="shared" si="14"/>
        <v>1874.5580629184919</v>
      </c>
      <c r="BJ25" s="124">
        <f t="shared" si="12"/>
        <v>32.04</v>
      </c>
      <c r="BK25" s="123"/>
      <c r="BL25">
        <f t="shared" si="13"/>
        <v>2</v>
      </c>
    </row>
    <row r="26" spans="1:64" x14ac:dyDescent="0.3">
      <c r="B26" s="118" t="s">
        <v>72</v>
      </c>
      <c r="C26">
        <v>0</v>
      </c>
      <c r="D26">
        <v>60</v>
      </c>
      <c r="E26">
        <v>0.02</v>
      </c>
      <c r="F26" s="3">
        <v>0</v>
      </c>
      <c r="G26" s="114">
        <f t="shared" si="4"/>
        <v>0</v>
      </c>
      <c r="H26">
        <f t="shared" si="17"/>
        <v>0</v>
      </c>
      <c r="I26">
        <f t="shared" si="17"/>
        <v>0</v>
      </c>
      <c r="J26">
        <f t="shared" si="17"/>
        <v>0</v>
      </c>
      <c r="K26">
        <f t="shared" si="17"/>
        <v>0</v>
      </c>
      <c r="L26">
        <f t="shared" si="17"/>
        <v>0</v>
      </c>
      <c r="M26">
        <f t="shared" si="17"/>
        <v>0</v>
      </c>
      <c r="N26">
        <f t="shared" si="17"/>
        <v>0</v>
      </c>
      <c r="O26">
        <f t="shared" si="17"/>
        <v>0</v>
      </c>
      <c r="P26">
        <f t="shared" si="17"/>
        <v>0</v>
      </c>
      <c r="Q26">
        <f t="shared" si="17"/>
        <v>0</v>
      </c>
      <c r="R26">
        <f t="shared" si="18"/>
        <v>0</v>
      </c>
      <c r="S26">
        <f t="shared" si="18"/>
        <v>0</v>
      </c>
      <c r="T26">
        <f t="shared" si="18"/>
        <v>0</v>
      </c>
      <c r="U26">
        <f t="shared" si="18"/>
        <v>0</v>
      </c>
      <c r="V26">
        <f t="shared" si="18"/>
        <v>0</v>
      </c>
      <c r="W26">
        <f t="shared" si="18"/>
        <v>0</v>
      </c>
      <c r="X26">
        <f t="shared" si="18"/>
        <v>0</v>
      </c>
      <c r="Y26">
        <f t="shared" si="18"/>
        <v>0</v>
      </c>
      <c r="Z26">
        <f t="shared" si="18"/>
        <v>0</v>
      </c>
      <c r="AA26">
        <f t="shared" si="18"/>
        <v>0</v>
      </c>
      <c r="AB26">
        <f t="shared" si="19"/>
        <v>0</v>
      </c>
      <c r="AC26">
        <f t="shared" si="19"/>
        <v>0</v>
      </c>
      <c r="AD26">
        <f t="shared" si="19"/>
        <v>0</v>
      </c>
      <c r="AE26">
        <f t="shared" si="19"/>
        <v>0</v>
      </c>
      <c r="AF26">
        <f t="shared" si="19"/>
        <v>0</v>
      </c>
      <c r="AG26">
        <f t="shared" si="19"/>
        <v>0</v>
      </c>
      <c r="AH26">
        <f t="shared" si="19"/>
        <v>0</v>
      </c>
      <c r="AI26">
        <f t="shared" si="19"/>
        <v>0</v>
      </c>
      <c r="AJ26">
        <f t="shared" si="19"/>
        <v>0</v>
      </c>
      <c r="AK26">
        <f t="shared" si="19"/>
        <v>0</v>
      </c>
      <c r="AL26">
        <f t="shared" si="20"/>
        <v>0</v>
      </c>
      <c r="AM26">
        <f t="shared" si="20"/>
        <v>0</v>
      </c>
      <c r="AN26">
        <f t="shared" si="20"/>
        <v>0</v>
      </c>
      <c r="AO26">
        <f t="shared" si="20"/>
        <v>0</v>
      </c>
      <c r="AP26">
        <f t="shared" si="20"/>
        <v>0</v>
      </c>
      <c r="AQ26">
        <f t="shared" si="20"/>
        <v>0</v>
      </c>
      <c r="AR26">
        <f t="shared" si="20"/>
        <v>0</v>
      </c>
      <c r="AS26">
        <f t="shared" si="20"/>
        <v>0</v>
      </c>
      <c r="AT26">
        <f t="shared" si="20"/>
        <v>0</v>
      </c>
      <c r="AU26">
        <f t="shared" si="20"/>
        <v>0</v>
      </c>
      <c r="AV26">
        <f t="shared" si="21"/>
        <v>0</v>
      </c>
      <c r="AW26">
        <f t="shared" si="21"/>
        <v>0</v>
      </c>
      <c r="AX26">
        <f t="shared" si="21"/>
        <v>0</v>
      </c>
      <c r="AY26">
        <f t="shared" si="21"/>
        <v>0</v>
      </c>
      <c r="AZ26">
        <f t="shared" si="21"/>
        <v>0</v>
      </c>
      <c r="BA26">
        <f t="shared" si="21"/>
        <v>0</v>
      </c>
      <c r="BB26">
        <f t="shared" si="21"/>
        <v>0</v>
      </c>
      <c r="BC26">
        <f t="shared" si="21"/>
        <v>0</v>
      </c>
      <c r="BD26">
        <f t="shared" si="21"/>
        <v>0</v>
      </c>
      <c r="BE26">
        <f t="shared" si="21"/>
        <v>0</v>
      </c>
      <c r="BF26">
        <f t="shared" si="11"/>
        <v>0</v>
      </c>
      <c r="BG26" s="116">
        <f>SUM($G26:AA26)-$BF26</f>
        <v>0</v>
      </c>
      <c r="BH26" s="116">
        <f>SUM($G26:AK26)-$BF26</f>
        <v>0</v>
      </c>
      <c r="BI26" s="116">
        <f t="shared" si="14"/>
        <v>0</v>
      </c>
      <c r="BJ26" s="124">
        <f t="shared" si="12"/>
        <v>0</v>
      </c>
      <c r="BK26" s="123"/>
      <c r="BL26">
        <f t="shared" si="13"/>
        <v>0</v>
      </c>
    </row>
    <row r="27" spans="1:64" x14ac:dyDescent="0.3">
      <c r="B27" t="s">
        <v>71</v>
      </c>
      <c r="C27">
        <v>0</v>
      </c>
      <c r="D27">
        <v>20</v>
      </c>
      <c r="E27">
        <f>Maintenance_products</f>
        <v>0.04</v>
      </c>
      <c r="F27" s="3">
        <v>0</v>
      </c>
      <c r="G27" s="114">
        <f t="shared" si="4"/>
        <v>0</v>
      </c>
      <c r="H27">
        <f t="shared" si="17"/>
        <v>0</v>
      </c>
      <c r="I27">
        <f t="shared" si="17"/>
        <v>0</v>
      </c>
      <c r="J27">
        <f t="shared" si="17"/>
        <v>0</v>
      </c>
      <c r="K27">
        <f t="shared" si="17"/>
        <v>0</v>
      </c>
      <c r="L27">
        <f t="shared" si="17"/>
        <v>0</v>
      </c>
      <c r="M27">
        <f t="shared" si="17"/>
        <v>0</v>
      </c>
      <c r="N27">
        <f t="shared" si="17"/>
        <v>0</v>
      </c>
      <c r="O27">
        <f t="shared" si="17"/>
        <v>0</v>
      </c>
      <c r="P27">
        <f t="shared" si="17"/>
        <v>0</v>
      </c>
      <c r="Q27">
        <f t="shared" si="17"/>
        <v>0</v>
      </c>
      <c r="R27">
        <f t="shared" si="18"/>
        <v>0</v>
      </c>
      <c r="S27">
        <f t="shared" si="18"/>
        <v>0</v>
      </c>
      <c r="T27">
        <f t="shared" si="18"/>
        <v>0</v>
      </c>
      <c r="U27">
        <f t="shared" si="18"/>
        <v>0</v>
      </c>
      <c r="V27">
        <f t="shared" si="18"/>
        <v>0</v>
      </c>
      <c r="W27">
        <f t="shared" si="18"/>
        <v>0</v>
      </c>
      <c r="X27">
        <f t="shared" si="18"/>
        <v>0</v>
      </c>
      <c r="Y27">
        <f t="shared" si="18"/>
        <v>0</v>
      </c>
      <c r="Z27">
        <f t="shared" si="18"/>
        <v>0</v>
      </c>
      <c r="AA27">
        <f t="shared" si="18"/>
        <v>0</v>
      </c>
      <c r="AB27">
        <f t="shared" si="19"/>
        <v>0</v>
      </c>
      <c r="AC27">
        <f t="shared" si="19"/>
        <v>0</v>
      </c>
      <c r="AD27">
        <f t="shared" si="19"/>
        <v>0</v>
      </c>
      <c r="AE27">
        <f t="shared" si="19"/>
        <v>0</v>
      </c>
      <c r="AF27">
        <f t="shared" si="19"/>
        <v>0</v>
      </c>
      <c r="AG27">
        <f t="shared" si="19"/>
        <v>0</v>
      </c>
      <c r="AH27">
        <f t="shared" si="19"/>
        <v>0</v>
      </c>
      <c r="AI27">
        <f t="shared" si="19"/>
        <v>0</v>
      </c>
      <c r="AJ27">
        <f t="shared" si="19"/>
        <v>0</v>
      </c>
      <c r="AK27">
        <f t="shared" si="19"/>
        <v>0</v>
      </c>
      <c r="AL27">
        <f t="shared" si="20"/>
        <v>0</v>
      </c>
      <c r="AM27">
        <f t="shared" si="20"/>
        <v>0</v>
      </c>
      <c r="AN27">
        <f t="shared" si="20"/>
        <v>0</v>
      </c>
      <c r="AO27">
        <f t="shared" si="20"/>
        <v>0</v>
      </c>
      <c r="AP27">
        <f t="shared" si="20"/>
        <v>0</v>
      </c>
      <c r="AQ27">
        <f t="shared" si="20"/>
        <v>0</v>
      </c>
      <c r="AR27">
        <f t="shared" si="20"/>
        <v>0</v>
      </c>
      <c r="AS27">
        <f t="shared" si="20"/>
        <v>0</v>
      </c>
      <c r="AT27">
        <f t="shared" si="20"/>
        <v>0</v>
      </c>
      <c r="AU27">
        <f t="shared" si="20"/>
        <v>0</v>
      </c>
      <c r="AV27">
        <f t="shared" si="21"/>
        <v>0</v>
      </c>
      <c r="AW27">
        <f t="shared" si="21"/>
        <v>0</v>
      </c>
      <c r="AX27">
        <f t="shared" si="21"/>
        <v>0</v>
      </c>
      <c r="AY27">
        <f t="shared" si="21"/>
        <v>0</v>
      </c>
      <c r="AZ27">
        <f t="shared" si="21"/>
        <v>0</v>
      </c>
      <c r="BA27">
        <f t="shared" si="21"/>
        <v>0</v>
      </c>
      <c r="BB27">
        <f t="shared" si="21"/>
        <v>0</v>
      </c>
      <c r="BC27">
        <f t="shared" si="21"/>
        <v>0</v>
      </c>
      <c r="BD27">
        <f t="shared" si="21"/>
        <v>0</v>
      </c>
      <c r="BE27">
        <f t="shared" si="21"/>
        <v>0</v>
      </c>
      <c r="BF27">
        <f t="shared" si="11"/>
        <v>0</v>
      </c>
      <c r="BG27" s="116">
        <f>SUM($G27:AA27)-$BF27</f>
        <v>0</v>
      </c>
      <c r="BH27" s="116">
        <f>SUM($G27:AK27)-$BF27</f>
        <v>0</v>
      </c>
      <c r="BI27" s="116">
        <f t="shared" si="14"/>
        <v>0</v>
      </c>
      <c r="BJ27" s="124">
        <f t="shared" si="12"/>
        <v>0</v>
      </c>
      <c r="BK27" s="123"/>
      <c r="BL27">
        <f t="shared" si="13"/>
        <v>2</v>
      </c>
    </row>
    <row r="28" spans="1:64" x14ac:dyDescent="0.3">
      <c r="B28" s="118" t="s">
        <v>61</v>
      </c>
      <c r="C28">
        <v>4500</v>
      </c>
      <c r="F28" s="3">
        <f>C28*2.1/1000</f>
        <v>9.4499999999999993</v>
      </c>
      <c r="G28" s="114">
        <f>F28</f>
        <v>9.4499999999999993</v>
      </c>
      <c r="BF28">
        <f>SUM(BF2:BF27)</f>
        <v>13751.858021237806</v>
      </c>
      <c r="BJ28" s="127"/>
      <c r="BK28" s="123"/>
    </row>
    <row r="29" spans="1:64" x14ac:dyDescent="0.3">
      <c r="B29" s="212" t="s">
        <v>62</v>
      </c>
      <c r="C29">
        <v>230000</v>
      </c>
      <c r="F29" s="3">
        <f>(0.065*E29+42.6*250*1.21)/1000</f>
        <v>12.8865</v>
      </c>
      <c r="G29" s="114">
        <f>F29</f>
        <v>12.8865</v>
      </c>
      <c r="BJ29" s="127"/>
      <c r="BK29" s="123"/>
    </row>
    <row r="30" spans="1:64" x14ac:dyDescent="0.3">
      <c r="B30" s="212" t="s">
        <v>63</v>
      </c>
      <c r="C30">
        <v>0</v>
      </c>
      <c r="F30" s="3">
        <v>0</v>
      </c>
      <c r="G30" s="114">
        <f>F30*C30</f>
        <v>0</v>
      </c>
      <c r="BJ30" s="127"/>
      <c r="BK30" s="123"/>
    </row>
    <row r="31" spans="1:64" x14ac:dyDescent="0.3">
      <c r="F31" s="3"/>
      <c r="G31" s="114">
        <f>SUM(G4:G30)</f>
        <v>21145.336500000001</v>
      </c>
      <c r="BG31" s="114">
        <f>SUM(BG4:BG30)</f>
        <v>26143.791864463103</v>
      </c>
      <c r="BH31" s="114">
        <f>SUM(BH4:BH30)</f>
        <v>31846.536456163543</v>
      </c>
      <c r="BI31" s="114">
        <f>SUM(BI4:BI30)</f>
        <v>56445.931831159134</v>
      </c>
      <c r="BJ31" s="127"/>
      <c r="BK31" s="123"/>
    </row>
    <row r="32" spans="1:64" x14ac:dyDescent="0.3">
      <c r="A32" t="s">
        <v>420</v>
      </c>
      <c r="C32">
        <v>0</v>
      </c>
      <c r="D32">
        <v>1</v>
      </c>
      <c r="F32" s="3"/>
      <c r="G32" s="125">
        <f>SUM(H11:$H$27)</f>
        <v>374.45180425111215</v>
      </c>
      <c r="H32" s="125">
        <f>SUM($H11:H$27)</f>
        <v>374.45180425111215</v>
      </c>
      <c r="I32">
        <f t="shared" ref="I32:AN32" si="22">$G32*($E32+IF(I$1&lt;$D32,0,IF(I$1/ROUNDDOWN(I$1/$D32,0)/$D32=1,1,0)))*((1+Inflation_products)/(1+Discount_rate))^(I$1)</f>
        <v>384.51375845236487</v>
      </c>
      <c r="J32">
        <f t="shared" si="22"/>
        <v>389.64567712671675</v>
      </c>
      <c r="K32">
        <f t="shared" si="22"/>
        <v>394.8460890310277</v>
      </c>
      <c r="L32">
        <f t="shared" si="22"/>
        <v>400.11590831122425</v>
      </c>
      <c r="M32">
        <f t="shared" si="22"/>
        <v>405.45606131389496</v>
      </c>
      <c r="N32">
        <f t="shared" si="22"/>
        <v>410.86748674912741</v>
      </c>
      <c r="O32">
        <f t="shared" si="22"/>
        <v>416.35113585551693</v>
      </c>
      <c r="P32">
        <f t="shared" si="22"/>
        <v>421.90797256738</v>
      </c>
      <c r="Q32">
        <f t="shared" si="22"/>
        <v>427.53897368419609</v>
      </c>
      <c r="R32">
        <f t="shared" si="22"/>
        <v>433.24512904231437</v>
      </c>
      <c r="S32">
        <f t="shared" si="22"/>
        <v>439.02744168894924</v>
      </c>
      <c r="T32">
        <f t="shared" si="22"/>
        <v>444.88692805850013</v>
      </c>
      <c r="U32">
        <f t="shared" si="22"/>
        <v>450.82461815122343</v>
      </c>
      <c r="V32">
        <f t="shared" si="22"/>
        <v>456.84155571428971</v>
      </c>
      <c r="W32">
        <f t="shared" si="22"/>
        <v>462.93879842525632</v>
      </c>
      <c r="X32">
        <f t="shared" si="22"/>
        <v>469.11741807799075</v>
      </c>
      <c r="Y32">
        <f t="shared" si="22"/>
        <v>475.37850077107311</v>
      </c>
      <c r="Z32">
        <f t="shared" si="22"/>
        <v>481.72314709871472</v>
      </c>
      <c r="AA32">
        <f t="shared" si="22"/>
        <v>488.15247234422378</v>
      </c>
      <c r="AB32">
        <f t="shared" si="22"/>
        <v>494.66760667605473</v>
      </c>
      <c r="AC32">
        <f t="shared" si="22"/>
        <v>501.26969534647156</v>
      </c>
      <c r="AD32">
        <f t="shared" si="22"/>
        <v>507.9598988928654</v>
      </c>
      <c r="AE32">
        <f t="shared" si="22"/>
        <v>514.73939334175668</v>
      </c>
      <c r="AF32">
        <f t="shared" si="22"/>
        <v>521.60937041552199</v>
      </c>
      <c r="AG32">
        <f t="shared" si="22"/>
        <v>528.57103774187829</v>
      </c>
      <c r="AH32">
        <f t="shared" si="22"/>
        <v>535.62561906616429</v>
      </c>
      <c r="AI32">
        <f t="shared" si="22"/>
        <v>542.77435446645404</v>
      </c>
      <c r="AJ32">
        <f t="shared" si="22"/>
        <v>550.01850057154252</v>
      </c>
      <c r="AK32">
        <f t="shared" si="22"/>
        <v>557.35933078183984</v>
      </c>
      <c r="AL32">
        <f t="shared" si="22"/>
        <v>564.79813549321386</v>
      </c>
      <c r="AM32">
        <f t="shared" si="22"/>
        <v>572.33622232382015</v>
      </c>
      <c r="AN32">
        <f t="shared" si="22"/>
        <v>579.97491634395999</v>
      </c>
      <c r="AO32">
        <f t="shared" ref="AO32:BE32" si="23">$G32*($E32+IF(AO$1&lt;$D32,0,IF(AO$1/ROUNDDOWN(AO$1/$D32,0)/$D32=1,1,0)))*((1+Inflation_products)/(1+Discount_rate))^(AO$1)</f>
        <v>587.71556030900535</v>
      </c>
      <c r="AP32">
        <f t="shared" si="23"/>
        <v>595.55951489543293</v>
      </c>
      <c r="AQ32">
        <f t="shared" si="23"/>
        <v>603.50815894000846</v>
      </c>
      <c r="AR32">
        <f t="shared" si="23"/>
        <v>611.5628896821637</v>
      </c>
      <c r="AS32">
        <f t="shared" si="23"/>
        <v>619.72512300960727</v>
      </c>
      <c r="AT32">
        <f t="shared" si="23"/>
        <v>627.99629370721436</v>
      </c>
      <c r="AU32">
        <f t="shared" si="23"/>
        <v>636.37785570923836</v>
      </c>
      <c r="AV32">
        <f t="shared" si="23"/>
        <v>644.87128235488797</v>
      </c>
      <c r="AW32">
        <f t="shared" si="23"/>
        <v>653.47806664731581</v>
      </c>
      <c r="AX32">
        <f t="shared" si="23"/>
        <v>662.19972151606407</v>
      </c>
      <c r="AY32">
        <f t="shared" si="23"/>
        <v>671.03778008301083</v>
      </c>
      <c r="AZ32">
        <f t="shared" si="23"/>
        <v>679.9937959318695</v>
      </c>
      <c r="BA32">
        <f t="shared" si="23"/>
        <v>689.06934338128133</v>
      </c>
      <c r="BB32">
        <f t="shared" si="23"/>
        <v>698.26601776155542</v>
      </c>
      <c r="BC32">
        <f t="shared" si="23"/>
        <v>707.58543569510039</v>
      </c>
      <c r="BD32">
        <f t="shared" si="23"/>
        <v>717.02923538060088</v>
      </c>
      <c r="BE32">
        <f t="shared" si="23"/>
        <v>726.59907688098451</v>
      </c>
      <c r="BG32" s="116">
        <f>SUM($G32:AA32)-$BF32</f>
        <v>9002.2826809662092</v>
      </c>
      <c r="BH32" s="116">
        <f>SUM($G32:AK32)-$BF32</f>
        <v>14256.877488266759</v>
      </c>
      <c r="BI32" s="116">
        <f>SUM($G32:BE32)-$BF32</f>
        <v>27106.561914313097</v>
      </c>
      <c r="BJ32" s="124"/>
      <c r="BK32" s="123"/>
    </row>
    <row r="33" spans="1:63" x14ac:dyDescent="0.3">
      <c r="F33" s="3"/>
      <c r="G33" s="117"/>
      <c r="H33">
        <f>SUM(H10:H31)-H32</f>
        <v>0</v>
      </c>
      <c r="I33">
        <f t="shared" ref="I33:BF33" si="24">SUM(I10:I31)-I32</f>
        <v>-5.0643275503481391</v>
      </c>
      <c r="J33">
        <f t="shared" si="24"/>
        <v>-5.131918674351823</v>
      </c>
      <c r="K33">
        <f t="shared" si="24"/>
        <v>-5.2004119043110677</v>
      </c>
      <c r="L33">
        <f t="shared" si="24"/>
        <v>-5.2698192801965433</v>
      </c>
      <c r="M33">
        <f t="shared" si="24"/>
        <v>-5.340153002670661</v>
      </c>
      <c r="N33">
        <f t="shared" si="24"/>
        <v>-5.4114254352323314</v>
      </c>
      <c r="O33">
        <f t="shared" si="24"/>
        <v>-5.4836491063896347</v>
      </c>
      <c r="P33">
        <f t="shared" si="24"/>
        <v>-5.5568367118630135</v>
      </c>
      <c r="Q33">
        <f t="shared" si="24"/>
        <v>-5.6310011168162077</v>
      </c>
      <c r="R33">
        <f t="shared" si="24"/>
        <v>-5.7061553581182238</v>
      </c>
      <c r="S33">
        <f t="shared" si="24"/>
        <v>91.718945556327981</v>
      </c>
      <c r="T33">
        <f t="shared" si="24"/>
        <v>-5.8594863695510071</v>
      </c>
      <c r="U33">
        <f t="shared" si="24"/>
        <v>-5.9376900927233009</v>
      </c>
      <c r="V33">
        <f t="shared" si="24"/>
        <v>-6.0169375630662216</v>
      </c>
      <c r="W33">
        <f t="shared" si="24"/>
        <v>-6.0972427109667819</v>
      </c>
      <c r="X33">
        <f t="shared" si="24"/>
        <v>-6.1786196527344259</v>
      </c>
      <c r="Y33">
        <f t="shared" si="24"/>
        <v>-6.2610826930823009</v>
      </c>
      <c r="Z33">
        <f t="shared" si="24"/>
        <v>-6.3446463276414988</v>
      </c>
      <c r="AA33">
        <f t="shared" si="24"/>
        <v>8511.591466979542</v>
      </c>
      <c r="AB33">
        <f t="shared" si="24"/>
        <v>-6.5151343318307795</v>
      </c>
      <c r="AC33">
        <f t="shared" si="24"/>
        <v>-6.602088670416947</v>
      </c>
      <c r="AD33">
        <f t="shared" si="24"/>
        <v>-6.690203546393775</v>
      </c>
      <c r="AE33">
        <f t="shared" si="24"/>
        <v>108.69093071618954</v>
      </c>
      <c r="AF33">
        <f t="shared" si="24"/>
        <v>-6.8699770737653125</v>
      </c>
      <c r="AG33">
        <f t="shared" si="24"/>
        <v>-6.9616673263564053</v>
      </c>
      <c r="AH33">
        <f t="shared" si="24"/>
        <v>-7.0545813242858912</v>
      </c>
      <c r="AI33">
        <f t="shared" si="24"/>
        <v>-7.1487354002898655</v>
      </c>
      <c r="AJ33">
        <f t="shared" si="24"/>
        <v>-7.2441461050883618</v>
      </c>
      <c r="AK33">
        <f t="shared" si="24"/>
        <v>394.54538746213314</v>
      </c>
      <c r="AL33">
        <f t="shared" si="24"/>
        <v>-7.4388047113740186</v>
      </c>
      <c r="AM33">
        <f t="shared" si="24"/>
        <v>-7.5380868306064031</v>
      </c>
      <c r="AN33">
        <f t="shared" si="24"/>
        <v>-7.6386940201399511</v>
      </c>
      <c r="AO33">
        <f t="shared" si="24"/>
        <v>-7.7406439650453649</v>
      </c>
      <c r="AP33">
        <f t="shared" si="24"/>
        <v>-7.8439545864275715</v>
      </c>
      <c r="AQ33">
        <f t="shared" si="24"/>
        <v>127.43509499855156</v>
      </c>
      <c r="AR33">
        <f t="shared" si="24"/>
        <v>-8.0547307421551295</v>
      </c>
      <c r="AS33">
        <f t="shared" si="24"/>
        <v>-8.1622333274435732</v>
      </c>
      <c r="AT33">
        <f t="shared" si="24"/>
        <v>-8.27117069760709</v>
      </c>
      <c r="AU33">
        <f t="shared" si="24"/>
        <v>13254.454214386535</v>
      </c>
      <c r="AV33">
        <f t="shared" si="24"/>
        <v>-8.4934266456496061</v>
      </c>
      <c r="AW33">
        <f t="shared" si="24"/>
        <v>-8.6067842924278466</v>
      </c>
      <c r="AX33">
        <f t="shared" si="24"/>
        <v>-8.7216548687481463</v>
      </c>
      <c r="AY33">
        <f t="shared" si="24"/>
        <v>-8.8380585669469838</v>
      </c>
      <c r="AZ33">
        <f t="shared" si="24"/>
        <v>-8.9560158488586694</v>
      </c>
      <c r="BA33">
        <f t="shared" si="24"/>
        <v>-9.0755474494119426</v>
      </c>
      <c r="BB33">
        <f t="shared" si="24"/>
        <v>-9.1966743802740893</v>
      </c>
      <c r="BC33">
        <f t="shared" si="24"/>
        <v>149.41176168317565</v>
      </c>
      <c r="BD33">
        <f t="shared" si="24"/>
        <v>-9.4437996855006077</v>
      </c>
      <c r="BE33">
        <f t="shared" si="24"/>
        <v>-9.5698415003837454</v>
      </c>
      <c r="BF33">
        <f t="shared" si="24"/>
        <v>27503.716042475611</v>
      </c>
      <c r="BJ33" s="127"/>
      <c r="BK33" s="123"/>
    </row>
    <row r="34" spans="1:63" x14ac:dyDescent="0.3">
      <c r="A34" t="s">
        <v>428</v>
      </c>
      <c r="F34" s="3"/>
      <c r="BJ34" s="127"/>
      <c r="BK34" s="123"/>
    </row>
    <row r="35" spans="1:63" x14ac:dyDescent="0.3">
      <c r="A35" s="118" t="s">
        <v>7</v>
      </c>
      <c r="C35">
        <v>1635</v>
      </c>
      <c r="D35" t="s">
        <v>412</v>
      </c>
      <c r="E35">
        <v>1</v>
      </c>
      <c r="F35" s="3">
        <f>2.1/1000</f>
        <v>2.1000000000000003E-3</v>
      </c>
      <c r="G35" s="121">
        <f t="shared" ref="G35:G42" si="25">F35*C35</f>
        <v>3.4335000000000004</v>
      </c>
      <c r="H35" s="125">
        <f t="shared" ref="H35:AM35" si="26">$G35*((1+Inflation_water)/(1+Discount_rate))^(H1)</f>
        <v>3.4962975778546719</v>
      </c>
      <c r="I35" s="125">
        <f t="shared" si="26"/>
        <v>3.5602437026102938</v>
      </c>
      <c r="J35" s="125">
        <f t="shared" si="26"/>
        <v>3.6253593808092961</v>
      </c>
      <c r="K35" s="125">
        <f t="shared" si="26"/>
        <v>3.6916660031968109</v>
      </c>
      <c r="L35" s="125">
        <f t="shared" si="26"/>
        <v>3.7591853517476177</v>
      </c>
      <c r="M35" s="125">
        <f t="shared" si="26"/>
        <v>3.8279396068215981</v>
      </c>
      <c r="N35" s="125">
        <f t="shared" si="26"/>
        <v>3.8979513544500706</v>
      </c>
      <c r="O35" s="125">
        <f t="shared" si="26"/>
        <v>3.9692435937553849</v>
      </c>
      <c r="P35" s="125">
        <f t="shared" si="26"/>
        <v>4.0418397445062251</v>
      </c>
      <c r="Q35" s="125">
        <f t="shared" si="26"/>
        <v>4.1157636548110839</v>
      </c>
      <c r="R35" s="125">
        <f t="shared" si="26"/>
        <v>4.1910396089524644</v>
      </c>
      <c r="S35" s="125">
        <f t="shared" si="26"/>
        <v>4.2676923353643472</v>
      </c>
      <c r="T35" s="125">
        <f t="shared" si="26"/>
        <v>4.3457470147555881</v>
      </c>
      <c r="U35" s="125">
        <f t="shared" si="26"/>
        <v>4.4252292883818649</v>
      </c>
      <c r="V35" s="125">
        <f t="shared" si="26"/>
        <v>4.506165266468928</v>
      </c>
      <c r="W35" s="125">
        <f t="shared" si="26"/>
        <v>4.5885815367899117</v>
      </c>
      <c r="X35" s="125">
        <f t="shared" si="26"/>
        <v>4.6725051733995144</v>
      </c>
      <c r="Y35" s="125">
        <f t="shared" si="26"/>
        <v>4.7579637455279284</v>
      </c>
      <c r="Z35" s="125">
        <f t="shared" si="26"/>
        <v>4.8449853266374365</v>
      </c>
      <c r="AA35" s="125">
        <f t="shared" si="26"/>
        <v>4.9335985036446459</v>
      </c>
      <c r="AB35" s="125">
        <f t="shared" si="26"/>
        <v>5.0238323863114038</v>
      </c>
      <c r="AC35" s="125">
        <f t="shared" si="26"/>
        <v>5.1157166168074601</v>
      </c>
      <c r="AD35" s="125">
        <f t="shared" si="26"/>
        <v>5.2092813794480319</v>
      </c>
      <c r="AE35" s="125">
        <f t="shared" si="26"/>
        <v>5.3045574106094628</v>
      </c>
      <c r="AF35" s="125">
        <f t="shared" si="26"/>
        <v>5.4015760088262459</v>
      </c>
      <c r="AG35" s="125">
        <f t="shared" si="26"/>
        <v>5.5003690450726959</v>
      </c>
      <c r="AH35" s="125">
        <f t="shared" si="26"/>
        <v>5.6009689732327024</v>
      </c>
      <c r="AI35" s="125">
        <f t="shared" si="26"/>
        <v>5.7034088407609316</v>
      </c>
      <c r="AJ35" s="125">
        <f t="shared" si="26"/>
        <v>5.8077222995390612</v>
      </c>
      <c r="AK35" s="125">
        <f t="shared" si="26"/>
        <v>5.9139436169305313</v>
      </c>
      <c r="AL35" s="125">
        <f t="shared" si="26"/>
        <v>6.0221076870375168</v>
      </c>
      <c r="AM35" s="125">
        <f t="shared" si="26"/>
        <v>6.1322500421637569</v>
      </c>
      <c r="AN35" s="125">
        <f t="shared" ref="AN35:BE35" si="27">$G35*((1+Inflation_water)/(1+Discount_rate))^(AN1)</f>
        <v>6.2444068644870692</v>
      </c>
      <c r="AO35" s="125">
        <f t="shared" si="27"/>
        <v>6.3586149979453097</v>
      </c>
      <c r="AP35" s="125">
        <f t="shared" si="27"/>
        <v>6.4749119603397629</v>
      </c>
      <c r="AQ35" s="125">
        <f t="shared" si="27"/>
        <v>6.5933359556598656</v>
      </c>
      <c r="AR35" s="125">
        <f t="shared" si="27"/>
        <v>6.713925886633378</v>
      </c>
      <c r="AS35" s="125">
        <f t="shared" si="27"/>
        <v>6.8367213675060601</v>
      </c>
      <c r="AT35" s="125">
        <f t="shared" si="27"/>
        <v>6.9617627370551087</v>
      </c>
      <c r="AU35" s="125">
        <f t="shared" si="27"/>
        <v>7.0890910718405937</v>
      </c>
      <c r="AV35" s="125">
        <f t="shared" si="27"/>
        <v>7.2187481996992711</v>
      </c>
      <c r="AW35" s="125">
        <f t="shared" si="27"/>
        <v>7.3507767134851694</v>
      </c>
      <c r="AX35" s="125">
        <f t="shared" si="27"/>
        <v>7.4852199850615184</v>
      </c>
      <c r="AY35" s="125">
        <f t="shared" si="27"/>
        <v>7.6221221795485539</v>
      </c>
      <c r="AZ35" s="125">
        <f t="shared" si="27"/>
        <v>7.7615282698319428</v>
      </c>
      <c r="BA35" s="125">
        <f t="shared" si="27"/>
        <v>7.9034840513365321</v>
      </c>
      <c r="BB35" s="125">
        <f t="shared" si="27"/>
        <v>8.0480361570703192</v>
      </c>
      <c r="BC35" s="125">
        <f t="shared" si="27"/>
        <v>8.1952320729435773</v>
      </c>
      <c r="BD35" s="125">
        <f t="shared" si="27"/>
        <v>8.3451201533681498</v>
      </c>
      <c r="BE35" s="125">
        <f t="shared" si="27"/>
        <v>8.4977496371420607</v>
      </c>
      <c r="BF35" s="125"/>
      <c r="BG35" s="126">
        <f>SUM($G35:AA35)</f>
        <v>86.952497770485692</v>
      </c>
      <c r="BH35" s="126">
        <f>SUM($G35:AK35)</f>
        <v>141.5338743480242</v>
      </c>
      <c r="BI35" s="126">
        <f>SUM($G35:BE35)</f>
        <v>285.38902033817971</v>
      </c>
      <c r="BJ35" s="127"/>
      <c r="BK35" s="123"/>
    </row>
    <row r="36" spans="1:63" x14ac:dyDescent="0.3">
      <c r="A36" s="214" t="s">
        <v>80</v>
      </c>
      <c r="F36" s="3"/>
      <c r="G36" s="121">
        <f t="shared" si="25"/>
        <v>0</v>
      </c>
      <c r="H36" s="125">
        <f t="shared" ref="H36:AM36" si="28">$G36*((1+Inflation_water)/(1+Discount_rate))^(H2)</f>
        <v>0</v>
      </c>
      <c r="I36" s="125">
        <f t="shared" si="28"/>
        <v>0</v>
      </c>
      <c r="J36" s="125">
        <f t="shared" si="28"/>
        <v>0</v>
      </c>
      <c r="K36" s="125">
        <f t="shared" si="28"/>
        <v>0</v>
      </c>
      <c r="L36" s="125">
        <f t="shared" si="28"/>
        <v>0</v>
      </c>
      <c r="M36" s="125">
        <f t="shared" si="28"/>
        <v>0</v>
      </c>
      <c r="N36" s="125">
        <f t="shared" si="28"/>
        <v>0</v>
      </c>
      <c r="O36" s="125">
        <f t="shared" si="28"/>
        <v>0</v>
      </c>
      <c r="P36" s="125">
        <f t="shared" si="28"/>
        <v>0</v>
      </c>
      <c r="Q36" s="125">
        <f t="shared" si="28"/>
        <v>0</v>
      </c>
      <c r="R36" s="125">
        <f t="shared" si="28"/>
        <v>0</v>
      </c>
      <c r="S36" s="125">
        <f t="shared" si="28"/>
        <v>0</v>
      </c>
      <c r="T36" s="125">
        <f t="shared" si="28"/>
        <v>0</v>
      </c>
      <c r="U36" s="125">
        <f t="shared" si="28"/>
        <v>0</v>
      </c>
      <c r="V36" s="125">
        <f t="shared" si="28"/>
        <v>0</v>
      </c>
      <c r="W36" s="125">
        <f t="shared" si="28"/>
        <v>0</v>
      </c>
      <c r="X36" s="125">
        <f t="shared" si="28"/>
        <v>0</v>
      </c>
      <c r="Y36" s="125">
        <f t="shared" si="28"/>
        <v>0</v>
      </c>
      <c r="Z36" s="125">
        <f t="shared" si="28"/>
        <v>0</v>
      </c>
      <c r="AA36" s="125">
        <f t="shared" si="28"/>
        <v>0</v>
      </c>
      <c r="AB36" s="125">
        <f t="shared" si="28"/>
        <v>0</v>
      </c>
      <c r="AC36" s="125">
        <f t="shared" si="28"/>
        <v>0</v>
      </c>
      <c r="AD36" s="125">
        <f t="shared" si="28"/>
        <v>0</v>
      </c>
      <c r="AE36" s="125">
        <f t="shared" si="28"/>
        <v>0</v>
      </c>
      <c r="AF36" s="125">
        <f t="shared" si="28"/>
        <v>0</v>
      </c>
      <c r="AG36" s="125">
        <f t="shared" si="28"/>
        <v>0</v>
      </c>
      <c r="AH36" s="125">
        <f t="shared" si="28"/>
        <v>0</v>
      </c>
      <c r="AI36" s="125">
        <f t="shared" si="28"/>
        <v>0</v>
      </c>
      <c r="AJ36" s="125">
        <f t="shared" si="28"/>
        <v>0</v>
      </c>
      <c r="AK36" s="125">
        <f t="shared" si="28"/>
        <v>0</v>
      </c>
      <c r="AL36" s="125">
        <f t="shared" si="28"/>
        <v>0</v>
      </c>
      <c r="AM36" s="125">
        <f t="shared" si="28"/>
        <v>0</v>
      </c>
      <c r="AN36" s="125">
        <f t="shared" ref="AN36:BE36" si="29">$G36*((1+Inflation_water)/(1+Discount_rate))^(AN2)</f>
        <v>0</v>
      </c>
      <c r="AO36" s="125">
        <f t="shared" si="29"/>
        <v>0</v>
      </c>
      <c r="AP36" s="125">
        <f t="shared" si="29"/>
        <v>0</v>
      </c>
      <c r="AQ36" s="125">
        <f t="shared" si="29"/>
        <v>0</v>
      </c>
      <c r="AR36" s="125">
        <f t="shared" si="29"/>
        <v>0</v>
      </c>
      <c r="AS36" s="125">
        <f t="shared" si="29"/>
        <v>0</v>
      </c>
      <c r="AT36" s="125">
        <f t="shared" si="29"/>
        <v>0</v>
      </c>
      <c r="AU36" s="125">
        <f t="shared" si="29"/>
        <v>0</v>
      </c>
      <c r="AV36" s="125">
        <f t="shared" si="29"/>
        <v>0</v>
      </c>
      <c r="AW36" s="125">
        <f t="shared" si="29"/>
        <v>0</v>
      </c>
      <c r="AX36" s="125">
        <f t="shared" si="29"/>
        <v>0</v>
      </c>
      <c r="AY36" s="125">
        <f t="shared" si="29"/>
        <v>0</v>
      </c>
      <c r="AZ36" s="125">
        <f t="shared" si="29"/>
        <v>0</v>
      </c>
      <c r="BA36" s="125">
        <f t="shared" si="29"/>
        <v>0</v>
      </c>
      <c r="BB36" s="125">
        <f t="shared" si="29"/>
        <v>0</v>
      </c>
      <c r="BC36" s="125">
        <f t="shared" si="29"/>
        <v>0</v>
      </c>
      <c r="BD36" s="125">
        <f t="shared" si="29"/>
        <v>0</v>
      </c>
      <c r="BE36" s="125">
        <f t="shared" si="29"/>
        <v>0</v>
      </c>
      <c r="BF36" s="125"/>
      <c r="BG36" s="126">
        <f>SUM($G36:AJ36)</f>
        <v>0</v>
      </c>
      <c r="BH36" s="126">
        <f>SUM($G36:AK36)</f>
        <v>0</v>
      </c>
      <c r="BI36" s="126">
        <f t="shared" ref="BI36:BI42" si="30">SUM(H36:BF36)</f>
        <v>0</v>
      </c>
      <c r="BJ36" s="127"/>
      <c r="BK36" s="123"/>
    </row>
    <row r="37" spans="1:63" x14ac:dyDescent="0.3">
      <c r="A37" t="s">
        <v>427</v>
      </c>
      <c r="F37" s="3"/>
      <c r="G37" s="121"/>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7"/>
      <c r="BK37" s="123"/>
    </row>
    <row r="38" spans="1:63" x14ac:dyDescent="0.3">
      <c r="A38" t="s">
        <v>81</v>
      </c>
      <c r="C38">
        <f>'Energy costs'!L36</f>
        <v>10</v>
      </c>
      <c r="D38" t="s">
        <v>411</v>
      </c>
      <c r="F38" s="3">
        <f>'Energy costs'!M36*Building_surface/1000</f>
        <v>13.490399999999999</v>
      </c>
      <c r="G38" s="118">
        <f>F38</f>
        <v>13.490399999999999</v>
      </c>
      <c r="H38" s="125">
        <f t="shared" ref="H38:AM38" si="31">$G38*((1+Inflation_energy)/(1+Discount_rate))^(1+H1)</f>
        <v>14.26132021544624</v>
      </c>
      <c r="I38" s="125">
        <f t="shared" si="31"/>
        <v>14.663146835456338</v>
      </c>
      <c r="J38" s="125">
        <f t="shared" si="31"/>
        <v>15.076295312777649</v>
      </c>
      <c r="K38" s="125">
        <f t="shared" si="31"/>
        <v>15.501084651793134</v>
      </c>
      <c r="L38" s="125">
        <f t="shared" si="31"/>
        <v>15.937842845145681</v>
      </c>
      <c r="M38" s="125">
        <f t="shared" si="31"/>
        <v>16.386907126991105</v>
      </c>
      <c r="N38" s="125">
        <f t="shared" si="31"/>
        <v>16.848624233386804</v>
      </c>
      <c r="O38" s="125">
        <f t="shared" si="31"/>
        <v>17.323350670017078</v>
      </c>
      <c r="P38" s="125">
        <f t="shared" si="31"/>
        <v>17.811452987461944</v>
      </c>
      <c r="Q38" s="125">
        <f t="shared" si="31"/>
        <v>18.313308064221872</v>
      </c>
      <c r="R38" s="125">
        <f t="shared" si="31"/>
        <v>18.829303397716998</v>
      </c>
      <c r="S38" s="125">
        <f t="shared" si="31"/>
        <v>19.359837403485592</v>
      </c>
      <c r="T38" s="125">
        <f t="shared" si="31"/>
        <v>19.905319722812671</v>
      </c>
      <c r="U38" s="125">
        <f t="shared" si="31"/>
        <v>20.466171539026369</v>
      </c>
      <c r="V38" s="125">
        <f t="shared" si="31"/>
        <v>21.042825902706301</v>
      </c>
      <c r="W38" s="125">
        <f t="shared" si="31"/>
        <v>21.63572806605492</v>
      </c>
      <c r="X38" s="125">
        <f t="shared" si="31"/>
        <v>22.245335826690177</v>
      </c>
      <c r="Y38" s="125">
        <f t="shared" si="31"/>
        <v>22.872119881124842</v>
      </c>
      <c r="Z38" s="125">
        <f t="shared" si="31"/>
        <v>23.516564188205475</v>
      </c>
      <c r="AA38" s="125">
        <f t="shared" si="31"/>
        <v>24.179166342791589</v>
      </c>
      <c r="AB38" s="125">
        <f t="shared" si="31"/>
        <v>24.860437959963665</v>
      </c>
      <c r="AC38" s="125">
        <f t="shared" si="31"/>
        <v>25.560905070056556</v>
      </c>
      <c r="AD38" s="125">
        <f t="shared" si="31"/>
        <v>26.281108524823356</v>
      </c>
      <c r="AE38" s="125">
        <f t="shared" si="31"/>
        <v>27.021604415043289</v>
      </c>
      <c r="AF38" s="125">
        <f t="shared" si="31"/>
        <v>27.782964499896206</v>
      </c>
      <c r="AG38" s="125">
        <f t="shared" si="31"/>
        <v>28.565776648435047</v>
      </c>
      <c r="AH38" s="125">
        <f t="shared" si="31"/>
        <v>29.370645293497233</v>
      </c>
      <c r="AI38" s="125">
        <f t="shared" si="31"/>
        <v>30.198191898405458</v>
      </c>
      <c r="AJ38" s="125">
        <f t="shared" si="31"/>
        <v>31.049055436818264</v>
      </c>
      <c r="AK38" s="125">
        <f t="shared" si="31"/>
        <v>31.923892886100827</v>
      </c>
      <c r="AL38" s="125">
        <f t="shared" si="31"/>
        <v>32.823379734596998</v>
      </c>
      <c r="AM38" s="125">
        <f t="shared" si="31"/>
        <v>33.748210503194144</v>
      </c>
      <c r="AN38" s="125">
        <f t="shared" ref="AN38:BE38" si="32">$G38*((1+Inflation_energy)/(1+Discount_rate))^(1+AN1)</f>
        <v>34.699099281583692</v>
      </c>
      <c r="AO38" s="125">
        <f t="shared" si="32"/>
        <v>35.676780279631267</v>
      </c>
      <c r="AP38" s="125">
        <f t="shared" si="32"/>
        <v>36.682008394282278</v>
      </c>
      <c r="AQ38" s="125">
        <f t="shared" si="32"/>
        <v>37.715559792440494</v>
      </c>
      <c r="AR38" s="125">
        <f t="shared" si="32"/>
        <v>38.778232510270009</v>
      </c>
      <c r="AS38" s="125">
        <f t="shared" si="32"/>
        <v>39.870847069382897</v>
      </c>
      <c r="AT38" s="125">
        <f t="shared" si="32"/>
        <v>40.994247110388741</v>
      </c>
      <c r="AU38" s="125">
        <f t="shared" si="32"/>
        <v>42.149300044294897</v>
      </c>
      <c r="AV38" s="125">
        <f t="shared" si="32"/>
        <v>43.336897722260687</v>
      </c>
      <c r="AW38" s="125">
        <f t="shared" si="32"/>
        <v>44.557957124222547</v>
      </c>
      <c r="AX38" s="125">
        <f t="shared" si="32"/>
        <v>45.813421066921855</v>
      </c>
      <c r="AY38" s="125">
        <f t="shared" si="32"/>
        <v>47.104258931882079</v>
      </c>
      <c r="AZ38" s="125">
        <f t="shared" si="32"/>
        <v>48.431467413897543</v>
      </c>
      <c r="BA38" s="125">
        <f t="shared" si="32"/>
        <v>49.796071290611394</v>
      </c>
      <c r="BB38" s="125">
        <f t="shared" si="32"/>
        <v>51.199124213777409</v>
      </c>
      <c r="BC38" s="125">
        <f t="shared" si="32"/>
        <v>52.641709522816122</v>
      </c>
      <c r="BD38" s="125">
        <f t="shared" si="32"/>
        <v>54.124941081293869</v>
      </c>
      <c r="BE38" s="125">
        <f t="shared" si="32"/>
        <v>55.649964136970461</v>
      </c>
      <c r="BF38" s="125"/>
      <c r="BG38" s="118">
        <f>SUM($G38:AJ38)</f>
        <v>640.35679496025182</v>
      </c>
      <c r="BH38" s="118">
        <f>SUM($G38:AK38)</f>
        <v>672.28068784635263</v>
      </c>
      <c r="BI38" s="118">
        <f t="shared" si="30"/>
        <v>1524.5837650710719</v>
      </c>
      <c r="BJ38" s="127"/>
      <c r="BK38" s="123"/>
    </row>
    <row r="39" spans="1:63" x14ac:dyDescent="0.3">
      <c r="A39" t="s">
        <v>82</v>
      </c>
      <c r="C39">
        <f>'Energy costs'!L38</f>
        <v>13</v>
      </c>
      <c r="D39" t="s">
        <v>411</v>
      </c>
      <c r="F39" s="3">
        <f>'Energy costs'!M38*Building_surface/1000</f>
        <v>6.8327999999999998</v>
      </c>
      <c r="G39" s="118">
        <f t="shared" si="25"/>
        <v>88.826399999999992</v>
      </c>
      <c r="H39" s="125">
        <f t="shared" ref="H39:AM39" si="33">$G39*((1+Inflation_energy)/(1+Discount_rate))^(1+H2)</f>
        <v>93.972597632521328</v>
      </c>
      <c r="I39" s="125">
        <f t="shared" si="33"/>
        <v>94.00839071006736</v>
      </c>
      <c r="J39" s="125">
        <f t="shared" si="33"/>
        <v>94.044675407803297</v>
      </c>
      <c r="K39" s="125">
        <f t="shared" si="33"/>
        <v>94.081458666364185</v>
      </c>
      <c r="L39" s="125">
        <f t="shared" si="33"/>
        <v>94.118747529434359</v>
      </c>
      <c r="M39" s="125">
        <f t="shared" si="33"/>
        <v>94.156549145411887</v>
      </c>
      <c r="N39" s="125">
        <f t="shared" si="33"/>
        <v>94.194870769103531</v>
      </c>
      <c r="O39" s="125">
        <f t="shared" si="33"/>
        <v>94.233719763450623</v>
      </c>
      <c r="P39" s="125">
        <f t="shared" si="33"/>
        <v>94.273103601286593</v>
      </c>
      <c r="Q39" s="125">
        <f t="shared" si="33"/>
        <v>94.313029867126957</v>
      </c>
      <c r="R39" s="125">
        <f t="shared" si="33"/>
        <v>94.35350625899224</v>
      </c>
      <c r="S39" s="125">
        <f t="shared" si="33"/>
        <v>94.394540590264569</v>
      </c>
      <c r="T39" s="125">
        <f t="shared" si="33"/>
        <v>94.43614079157885</v>
      </c>
      <c r="U39" s="125">
        <f t="shared" si="33"/>
        <v>94.478314912749099</v>
      </c>
      <c r="V39" s="125">
        <f t="shared" si="33"/>
        <v>94.521071124730696</v>
      </c>
      <c r="W39" s="125">
        <f t="shared" si="33"/>
        <v>94.564417721619321</v>
      </c>
      <c r="X39" s="125">
        <f t="shared" si="33"/>
        <v>94.608363122687592</v>
      </c>
      <c r="Y39" s="125">
        <f t="shared" si="33"/>
        <v>94.652915874459822</v>
      </c>
      <c r="Z39" s="125">
        <f t="shared" si="33"/>
        <v>94.698084652826083</v>
      </c>
      <c r="AA39" s="125">
        <f t="shared" si="33"/>
        <v>94.743878265196386</v>
      </c>
      <c r="AB39" s="125">
        <f t="shared" si="33"/>
        <v>94.790305652695508</v>
      </c>
      <c r="AC39" s="125">
        <f t="shared" si="33"/>
        <v>94.837375892399933</v>
      </c>
      <c r="AD39" s="125">
        <f t="shared" si="33"/>
        <v>94.885098199617403</v>
      </c>
      <c r="AE39" s="125">
        <f t="shared" si="33"/>
        <v>94.93348193021005</v>
      </c>
      <c r="AF39" s="125">
        <f t="shared" si="33"/>
        <v>94.982536582962425</v>
      </c>
      <c r="AG39" s="125">
        <f t="shared" si="33"/>
        <v>95.032271801995023</v>
      </c>
      <c r="AH39" s="125">
        <f t="shared" si="33"/>
        <v>95.08269737922447</v>
      </c>
      <c r="AI39" s="125">
        <f t="shared" si="33"/>
        <v>95.133823256871537</v>
      </c>
      <c r="AJ39" s="125">
        <f t="shared" si="33"/>
        <v>95.185659530017901</v>
      </c>
      <c r="AK39" s="125">
        <f t="shared" si="33"/>
        <v>95.238216449212828</v>
      </c>
      <c r="AL39" s="125">
        <f t="shared" si="33"/>
        <v>95.29150442313086</v>
      </c>
      <c r="AM39" s="125">
        <f t="shared" si="33"/>
        <v>95.345534021281694</v>
      </c>
      <c r="AN39" s="125">
        <f t="shared" ref="AN39:BE39" si="34">$G39*((1+Inflation_energy)/(1+Discount_rate))^(1+AN2)</f>
        <v>95.400315976773527</v>
      </c>
      <c r="AO39" s="125">
        <f t="shared" si="34"/>
        <v>95.455861189130943</v>
      </c>
      <c r="AP39" s="125">
        <f t="shared" si="34"/>
        <v>95.512180727168627</v>
      </c>
      <c r="AQ39" s="125">
        <f t="shared" si="34"/>
        <v>95.569285831922357</v>
      </c>
      <c r="AR39" s="125">
        <f t="shared" si="34"/>
        <v>95.627187919638288</v>
      </c>
      <c r="AS39" s="125">
        <f t="shared" si="34"/>
        <v>95.68589858482224</v>
      </c>
      <c r="AT39" s="125">
        <f t="shared" si="34"/>
        <v>95.745429603350075</v>
      </c>
      <c r="AU39" s="125">
        <f t="shared" si="34"/>
        <v>95.805792935640739</v>
      </c>
      <c r="AV39" s="125">
        <f t="shared" si="34"/>
        <v>95.867000729893519</v>
      </c>
      <c r="AW39" s="125">
        <f t="shared" si="34"/>
        <v>95.929065325390781</v>
      </c>
      <c r="AX39" s="125">
        <f t="shared" si="34"/>
        <v>95.991999255867853</v>
      </c>
      <c r="AY39" s="125">
        <f t="shared" si="34"/>
        <v>96.055815252951902</v>
      </c>
      <c r="AZ39" s="125">
        <f t="shared" si="34"/>
        <v>96.120526249670803</v>
      </c>
      <c r="BA39" s="125">
        <f t="shared" si="34"/>
        <v>96.186145384034489</v>
      </c>
      <c r="BB39" s="125">
        <f t="shared" si="34"/>
        <v>96.252686002689643</v>
      </c>
      <c r="BC39" s="125">
        <f t="shared" si="34"/>
        <v>96.320161664650314</v>
      </c>
      <c r="BD39" s="125">
        <f t="shared" si="34"/>
        <v>96.388586145105563</v>
      </c>
      <c r="BE39" s="125">
        <f t="shared" si="34"/>
        <v>96.457973439306613</v>
      </c>
      <c r="BF39" s="125"/>
      <c r="BG39" s="118">
        <f>SUM($G39:AJ39)</f>
        <v>2830.5380266336692</v>
      </c>
      <c r="BH39" s="118">
        <f>SUM($G39:AK39)</f>
        <v>2925.776243082882</v>
      </c>
      <c r="BI39" s="118">
        <f t="shared" si="30"/>
        <v>4753.9587937453025</v>
      </c>
      <c r="BJ39" s="127"/>
      <c r="BK39" s="123"/>
    </row>
    <row r="40" spans="1:63" x14ac:dyDescent="0.3">
      <c r="A40" s="118" t="s">
        <v>480</v>
      </c>
      <c r="C40">
        <f>'Energy costs'!L37</f>
        <v>10</v>
      </c>
      <c r="D40" t="s">
        <v>411</v>
      </c>
      <c r="F40" s="3">
        <f>'Energy costs'!M37*Building_surface/1000</f>
        <v>28.032</v>
      </c>
      <c r="G40" s="118">
        <f>F40</f>
        <v>28.032</v>
      </c>
      <c r="H40" s="125">
        <f t="shared" ref="H40:AM40" si="35">$G40*((1+Inflation_energy)/(1+Discount_rate))^(1+H3)</f>
        <v>28.821828966880865</v>
      </c>
      <c r="I40" s="125">
        <f t="shared" si="35"/>
        <v>28.821828966880865</v>
      </c>
      <c r="J40" s="125">
        <f t="shared" si="35"/>
        <v>28.821828966880865</v>
      </c>
      <c r="K40" s="125">
        <f t="shared" si="35"/>
        <v>28.821828966880865</v>
      </c>
      <c r="L40" s="125">
        <f t="shared" si="35"/>
        <v>28.821828966880865</v>
      </c>
      <c r="M40" s="125">
        <f t="shared" si="35"/>
        <v>28.821828966880865</v>
      </c>
      <c r="N40" s="125">
        <f t="shared" si="35"/>
        <v>28.821828966880865</v>
      </c>
      <c r="O40" s="125">
        <f t="shared" si="35"/>
        <v>28.821828966880865</v>
      </c>
      <c r="P40" s="125">
        <f t="shared" si="35"/>
        <v>28.821828966880865</v>
      </c>
      <c r="Q40" s="125">
        <f t="shared" si="35"/>
        <v>28.821828966880865</v>
      </c>
      <c r="R40" s="125">
        <f t="shared" si="35"/>
        <v>28.821828966880865</v>
      </c>
      <c r="S40" s="125">
        <f t="shared" si="35"/>
        <v>28.821828966880865</v>
      </c>
      <c r="T40" s="125">
        <f t="shared" si="35"/>
        <v>28.821828966880865</v>
      </c>
      <c r="U40" s="125">
        <f t="shared" si="35"/>
        <v>28.821828966880865</v>
      </c>
      <c r="V40" s="125">
        <f t="shared" si="35"/>
        <v>28.821828966880865</v>
      </c>
      <c r="W40" s="125">
        <f t="shared" si="35"/>
        <v>28.821828966880865</v>
      </c>
      <c r="X40" s="125">
        <f t="shared" si="35"/>
        <v>28.821828966880865</v>
      </c>
      <c r="Y40" s="125">
        <f t="shared" si="35"/>
        <v>28.821828966880865</v>
      </c>
      <c r="Z40" s="125">
        <f t="shared" si="35"/>
        <v>28.821828966880865</v>
      </c>
      <c r="AA40" s="125">
        <f t="shared" si="35"/>
        <v>28.821828966880865</v>
      </c>
      <c r="AB40" s="125">
        <f t="shared" si="35"/>
        <v>28.821828966880865</v>
      </c>
      <c r="AC40" s="125">
        <f t="shared" si="35"/>
        <v>28.821828966880865</v>
      </c>
      <c r="AD40" s="125">
        <f t="shared" si="35"/>
        <v>28.821828966880865</v>
      </c>
      <c r="AE40" s="125">
        <f t="shared" si="35"/>
        <v>28.821828966880865</v>
      </c>
      <c r="AF40" s="125">
        <f t="shared" si="35"/>
        <v>28.821828966880865</v>
      </c>
      <c r="AG40" s="125">
        <f t="shared" si="35"/>
        <v>28.821828966880865</v>
      </c>
      <c r="AH40" s="125">
        <f t="shared" si="35"/>
        <v>28.821828966880865</v>
      </c>
      <c r="AI40" s="125">
        <f t="shared" si="35"/>
        <v>28.821828966880865</v>
      </c>
      <c r="AJ40" s="125">
        <f t="shared" si="35"/>
        <v>28.821828966880865</v>
      </c>
      <c r="AK40" s="125">
        <f t="shared" si="35"/>
        <v>28.821828966880865</v>
      </c>
      <c r="AL40" s="125">
        <f t="shared" si="35"/>
        <v>28.821828966880865</v>
      </c>
      <c r="AM40" s="125">
        <f t="shared" si="35"/>
        <v>28.821828966880865</v>
      </c>
      <c r="AN40" s="125">
        <f t="shared" ref="AN40:BE40" si="36">$G40*((1+Inflation_energy)/(1+Discount_rate))^(1+AN3)</f>
        <v>28.821828966880865</v>
      </c>
      <c r="AO40" s="125">
        <f t="shared" si="36"/>
        <v>28.821828966880865</v>
      </c>
      <c r="AP40" s="125">
        <f t="shared" si="36"/>
        <v>28.821828966880865</v>
      </c>
      <c r="AQ40" s="125">
        <f t="shared" si="36"/>
        <v>28.821828966880865</v>
      </c>
      <c r="AR40" s="125">
        <f t="shared" si="36"/>
        <v>28.821828966880865</v>
      </c>
      <c r="AS40" s="125">
        <f t="shared" si="36"/>
        <v>28.821828966880865</v>
      </c>
      <c r="AT40" s="125">
        <f t="shared" si="36"/>
        <v>28.821828966880865</v>
      </c>
      <c r="AU40" s="125">
        <f t="shared" si="36"/>
        <v>28.821828966880865</v>
      </c>
      <c r="AV40" s="125">
        <f t="shared" si="36"/>
        <v>28.821828966880865</v>
      </c>
      <c r="AW40" s="125">
        <f t="shared" si="36"/>
        <v>28.821828966880865</v>
      </c>
      <c r="AX40" s="125">
        <f t="shared" si="36"/>
        <v>28.821828966880865</v>
      </c>
      <c r="AY40" s="125">
        <f t="shared" si="36"/>
        <v>28.821828966880865</v>
      </c>
      <c r="AZ40" s="125">
        <f t="shared" si="36"/>
        <v>28.821828966880865</v>
      </c>
      <c r="BA40" s="125">
        <f t="shared" si="36"/>
        <v>28.821828966880865</v>
      </c>
      <c r="BB40" s="125">
        <f t="shared" si="36"/>
        <v>28.821828966880865</v>
      </c>
      <c r="BC40" s="125">
        <f t="shared" si="36"/>
        <v>28.821828966880865</v>
      </c>
      <c r="BD40" s="125">
        <f t="shared" si="36"/>
        <v>28.821828966880865</v>
      </c>
      <c r="BE40" s="125">
        <f t="shared" si="36"/>
        <v>28.821828966880865</v>
      </c>
      <c r="BF40" s="125"/>
      <c r="BG40" s="118">
        <f>SUM($G40:AJ40)</f>
        <v>863.86504003954474</v>
      </c>
      <c r="BH40" s="118">
        <f>SUM($G40:AK40)</f>
        <v>892.68686900642558</v>
      </c>
      <c r="BI40" s="118">
        <f t="shared" si="30"/>
        <v>1441.091448344044</v>
      </c>
      <c r="BJ40" s="127"/>
      <c r="BK40" s="123"/>
    </row>
    <row r="41" spans="1:63" x14ac:dyDescent="0.3">
      <c r="A41" s="118" t="s">
        <v>83</v>
      </c>
      <c r="C41">
        <f>'Energy costs'!L39</f>
        <v>12</v>
      </c>
      <c r="D41" t="s">
        <v>411</v>
      </c>
      <c r="F41" s="3">
        <f>'Energy costs'!M39*Building_surface/1000</f>
        <v>23.827199999999998</v>
      </c>
      <c r="G41" s="118">
        <f t="shared" si="25"/>
        <v>285.92639999999994</v>
      </c>
      <c r="H41" s="125">
        <f t="shared" ref="H41:AM41" si="37">$G41*((1+Inflation_energy)/(1+Discount_rate))^(1+H4)</f>
        <v>293.98265546218477</v>
      </c>
      <c r="I41" s="125">
        <f t="shared" si="37"/>
        <v>293.98265546218477</v>
      </c>
      <c r="J41" s="125">
        <f t="shared" si="37"/>
        <v>293.98265546218477</v>
      </c>
      <c r="K41" s="125">
        <f t="shared" si="37"/>
        <v>293.98265546218477</v>
      </c>
      <c r="L41" s="125">
        <f t="shared" si="37"/>
        <v>293.98265546218477</v>
      </c>
      <c r="M41" s="125">
        <f t="shared" si="37"/>
        <v>293.98265546218477</v>
      </c>
      <c r="N41" s="125">
        <f t="shared" si="37"/>
        <v>293.98265546218477</v>
      </c>
      <c r="O41" s="125">
        <f t="shared" si="37"/>
        <v>293.98265546218477</v>
      </c>
      <c r="P41" s="125">
        <f t="shared" si="37"/>
        <v>293.98265546218477</v>
      </c>
      <c r="Q41" s="125">
        <f t="shared" si="37"/>
        <v>293.98265546218477</v>
      </c>
      <c r="R41" s="125">
        <f t="shared" si="37"/>
        <v>293.98265546218477</v>
      </c>
      <c r="S41" s="125">
        <f t="shared" si="37"/>
        <v>293.98265546218477</v>
      </c>
      <c r="T41" s="125">
        <f t="shared" si="37"/>
        <v>293.98265546218477</v>
      </c>
      <c r="U41" s="125">
        <f t="shared" si="37"/>
        <v>293.98265546218477</v>
      </c>
      <c r="V41" s="125">
        <f t="shared" si="37"/>
        <v>293.98265546218477</v>
      </c>
      <c r="W41" s="125">
        <f t="shared" si="37"/>
        <v>293.98265546218477</v>
      </c>
      <c r="X41" s="125">
        <f t="shared" si="37"/>
        <v>293.98265546218477</v>
      </c>
      <c r="Y41" s="125">
        <f t="shared" si="37"/>
        <v>293.98265546218477</v>
      </c>
      <c r="Z41" s="125">
        <f t="shared" si="37"/>
        <v>293.98265546218477</v>
      </c>
      <c r="AA41" s="125">
        <f t="shared" si="37"/>
        <v>293.98265546218477</v>
      </c>
      <c r="AB41" s="125">
        <f t="shared" si="37"/>
        <v>293.98265546218477</v>
      </c>
      <c r="AC41" s="125">
        <f t="shared" si="37"/>
        <v>293.98265546218477</v>
      </c>
      <c r="AD41" s="125">
        <f t="shared" si="37"/>
        <v>293.98265546218477</v>
      </c>
      <c r="AE41" s="125">
        <f t="shared" si="37"/>
        <v>293.98265546218477</v>
      </c>
      <c r="AF41" s="125">
        <f t="shared" si="37"/>
        <v>293.98265546218477</v>
      </c>
      <c r="AG41" s="125">
        <f t="shared" si="37"/>
        <v>293.98265546218477</v>
      </c>
      <c r="AH41" s="125">
        <f t="shared" si="37"/>
        <v>293.98265546218477</v>
      </c>
      <c r="AI41" s="125">
        <f t="shared" si="37"/>
        <v>293.98265546218477</v>
      </c>
      <c r="AJ41" s="125">
        <f t="shared" si="37"/>
        <v>293.98265546218477</v>
      </c>
      <c r="AK41" s="125">
        <f t="shared" si="37"/>
        <v>293.98265546218477</v>
      </c>
      <c r="AL41" s="125">
        <f t="shared" si="37"/>
        <v>293.98265546218477</v>
      </c>
      <c r="AM41" s="125">
        <f t="shared" si="37"/>
        <v>293.98265546218477</v>
      </c>
      <c r="AN41" s="125">
        <f t="shared" ref="AN41:BE41" si="38">$G41*((1+Inflation_energy)/(1+Discount_rate))^(1+AN4)</f>
        <v>293.98265546218477</v>
      </c>
      <c r="AO41" s="125">
        <f t="shared" si="38"/>
        <v>293.98265546218477</v>
      </c>
      <c r="AP41" s="125">
        <f t="shared" si="38"/>
        <v>293.98265546218477</v>
      </c>
      <c r="AQ41" s="125">
        <f t="shared" si="38"/>
        <v>293.98265546218477</v>
      </c>
      <c r="AR41" s="125">
        <f t="shared" si="38"/>
        <v>293.98265546218477</v>
      </c>
      <c r="AS41" s="125">
        <f t="shared" si="38"/>
        <v>293.98265546218477</v>
      </c>
      <c r="AT41" s="125">
        <f t="shared" si="38"/>
        <v>293.98265546218477</v>
      </c>
      <c r="AU41" s="125">
        <f t="shared" si="38"/>
        <v>293.98265546218477</v>
      </c>
      <c r="AV41" s="125">
        <f t="shared" si="38"/>
        <v>293.98265546218477</v>
      </c>
      <c r="AW41" s="125">
        <f t="shared" si="38"/>
        <v>293.98265546218477</v>
      </c>
      <c r="AX41" s="125">
        <f t="shared" si="38"/>
        <v>293.98265546218477</v>
      </c>
      <c r="AY41" s="125">
        <f t="shared" si="38"/>
        <v>293.98265546218477</v>
      </c>
      <c r="AZ41" s="125">
        <f t="shared" si="38"/>
        <v>293.98265546218477</v>
      </c>
      <c r="BA41" s="125">
        <f t="shared" si="38"/>
        <v>293.98265546218477</v>
      </c>
      <c r="BB41" s="125">
        <f t="shared" si="38"/>
        <v>293.98265546218477</v>
      </c>
      <c r="BC41" s="125">
        <f t="shared" si="38"/>
        <v>293.98265546218477</v>
      </c>
      <c r="BD41" s="125">
        <f t="shared" si="38"/>
        <v>293.98265546218477</v>
      </c>
      <c r="BE41" s="125">
        <f t="shared" si="38"/>
        <v>293.98265546218477</v>
      </c>
      <c r="BF41" s="125"/>
      <c r="BG41" s="118">
        <f>SUM($G41:AJ41)</f>
        <v>8811.4234084033633</v>
      </c>
      <c r="BH41" s="118">
        <f>SUM($G41:AK41)</f>
        <v>9105.4060638655483</v>
      </c>
      <c r="BI41" s="118">
        <f t="shared" si="30"/>
        <v>14699.132773109248</v>
      </c>
      <c r="BJ41" s="127"/>
      <c r="BK41" s="123"/>
    </row>
    <row r="42" spans="1:63" x14ac:dyDescent="0.3">
      <c r="A42" t="s">
        <v>478</v>
      </c>
      <c r="C42">
        <f>SUM('Energy costs'!K36:K39)/1000</f>
        <v>8.5000000000000006E-3</v>
      </c>
      <c r="D42" t="s">
        <v>481</v>
      </c>
      <c r="E42">
        <v>9</v>
      </c>
      <c r="F42" s="3">
        <f>C42*Building_surface/1000</f>
        <v>7.4460000000000012E-2</v>
      </c>
      <c r="G42" s="118">
        <f t="shared" si="25"/>
        <v>6.329100000000002E-4</v>
      </c>
      <c r="H42" s="125">
        <f t="shared" ref="H42:AM42" si="39">$G42*((1+Inflation_energy)/(1+Discount_rate))^(1+H5)</f>
        <v>6.5074285714285729E-4</v>
      </c>
      <c r="I42" s="125">
        <f t="shared" si="39"/>
        <v>6.5074285714285729E-4</v>
      </c>
      <c r="J42" s="125">
        <f t="shared" si="39"/>
        <v>6.5074285714285729E-4</v>
      </c>
      <c r="K42" s="125">
        <f t="shared" si="39"/>
        <v>6.5074285714285729E-4</v>
      </c>
      <c r="L42" s="125">
        <f t="shared" si="39"/>
        <v>6.5074285714285729E-4</v>
      </c>
      <c r="M42" s="125">
        <f t="shared" si="39"/>
        <v>6.5074285714285729E-4</v>
      </c>
      <c r="N42" s="125">
        <f t="shared" si="39"/>
        <v>6.5074285714285729E-4</v>
      </c>
      <c r="O42" s="125">
        <f t="shared" si="39"/>
        <v>6.5074285714285729E-4</v>
      </c>
      <c r="P42" s="125">
        <f t="shared" si="39"/>
        <v>6.5074285714285729E-4</v>
      </c>
      <c r="Q42" s="125">
        <f t="shared" si="39"/>
        <v>6.5074285714285729E-4</v>
      </c>
      <c r="R42" s="125">
        <f t="shared" si="39"/>
        <v>6.5074285714285729E-4</v>
      </c>
      <c r="S42" s="125">
        <f t="shared" si="39"/>
        <v>6.5074285714285729E-4</v>
      </c>
      <c r="T42" s="125">
        <f t="shared" si="39"/>
        <v>6.5074285714285729E-4</v>
      </c>
      <c r="U42" s="125">
        <f t="shared" si="39"/>
        <v>6.5074285714285729E-4</v>
      </c>
      <c r="V42" s="125">
        <f t="shared" si="39"/>
        <v>6.5074285714285729E-4</v>
      </c>
      <c r="W42" s="125">
        <f t="shared" si="39"/>
        <v>6.5074285714285729E-4</v>
      </c>
      <c r="X42" s="125">
        <f t="shared" si="39"/>
        <v>6.5074285714285729E-4</v>
      </c>
      <c r="Y42" s="125">
        <f t="shared" si="39"/>
        <v>6.5074285714285729E-4</v>
      </c>
      <c r="Z42" s="125">
        <f t="shared" si="39"/>
        <v>6.5074285714285729E-4</v>
      </c>
      <c r="AA42" s="125">
        <f t="shared" si="39"/>
        <v>6.5074285714285729E-4</v>
      </c>
      <c r="AB42" s="125">
        <f t="shared" si="39"/>
        <v>6.5074285714285729E-4</v>
      </c>
      <c r="AC42" s="125">
        <f t="shared" si="39"/>
        <v>6.5074285714285729E-4</v>
      </c>
      <c r="AD42" s="125">
        <f t="shared" si="39"/>
        <v>6.5074285714285729E-4</v>
      </c>
      <c r="AE42" s="125">
        <f t="shared" si="39"/>
        <v>6.5074285714285729E-4</v>
      </c>
      <c r="AF42" s="125">
        <f t="shared" si="39"/>
        <v>6.5074285714285729E-4</v>
      </c>
      <c r="AG42" s="125">
        <f t="shared" si="39"/>
        <v>6.5074285714285729E-4</v>
      </c>
      <c r="AH42" s="125">
        <f t="shared" si="39"/>
        <v>6.5074285714285729E-4</v>
      </c>
      <c r="AI42" s="125">
        <f t="shared" si="39"/>
        <v>6.5074285714285729E-4</v>
      </c>
      <c r="AJ42" s="125">
        <f t="shared" si="39"/>
        <v>6.5074285714285729E-4</v>
      </c>
      <c r="AK42" s="125">
        <f t="shared" si="39"/>
        <v>6.5074285714285729E-4</v>
      </c>
      <c r="AL42" s="125">
        <f t="shared" si="39"/>
        <v>6.5074285714285729E-4</v>
      </c>
      <c r="AM42" s="125">
        <f t="shared" si="39"/>
        <v>6.5074285714285729E-4</v>
      </c>
      <c r="AN42" s="125">
        <f t="shared" ref="AN42:BE42" si="40">$G42*((1+Inflation_energy)/(1+Discount_rate))^(1+AN5)</f>
        <v>6.5074285714285729E-4</v>
      </c>
      <c r="AO42" s="125">
        <f t="shared" si="40"/>
        <v>6.5074285714285729E-4</v>
      </c>
      <c r="AP42" s="125">
        <f t="shared" si="40"/>
        <v>6.5074285714285729E-4</v>
      </c>
      <c r="AQ42" s="125">
        <f t="shared" si="40"/>
        <v>6.5074285714285729E-4</v>
      </c>
      <c r="AR42" s="125">
        <f t="shared" si="40"/>
        <v>6.5074285714285729E-4</v>
      </c>
      <c r="AS42" s="125">
        <f t="shared" si="40"/>
        <v>6.5074285714285729E-4</v>
      </c>
      <c r="AT42" s="125">
        <f t="shared" si="40"/>
        <v>6.5074285714285729E-4</v>
      </c>
      <c r="AU42" s="125">
        <f t="shared" si="40"/>
        <v>6.5074285714285729E-4</v>
      </c>
      <c r="AV42" s="125">
        <f t="shared" si="40"/>
        <v>6.5074285714285729E-4</v>
      </c>
      <c r="AW42" s="125">
        <f t="shared" si="40"/>
        <v>6.5074285714285729E-4</v>
      </c>
      <c r="AX42" s="125">
        <f t="shared" si="40"/>
        <v>6.5074285714285729E-4</v>
      </c>
      <c r="AY42" s="125">
        <f t="shared" si="40"/>
        <v>6.5074285714285729E-4</v>
      </c>
      <c r="AZ42" s="125">
        <f t="shared" si="40"/>
        <v>6.5074285714285729E-4</v>
      </c>
      <c r="BA42" s="125">
        <f t="shared" si="40"/>
        <v>6.5074285714285729E-4</v>
      </c>
      <c r="BB42" s="125">
        <f t="shared" si="40"/>
        <v>6.5074285714285729E-4</v>
      </c>
      <c r="BC42" s="125">
        <f t="shared" si="40"/>
        <v>6.5074285714285729E-4</v>
      </c>
      <c r="BD42" s="125">
        <f t="shared" si="40"/>
        <v>6.5074285714285729E-4</v>
      </c>
      <c r="BE42" s="125">
        <f t="shared" si="40"/>
        <v>6.5074285714285729E-4</v>
      </c>
      <c r="BF42" s="125"/>
      <c r="BG42" s="118">
        <f>SUM($G42:AJ42)</f>
        <v>1.9504452857142862E-2</v>
      </c>
      <c r="BH42" s="118">
        <f>SUM($G42:AK42)</f>
        <v>2.0155195714285718E-2</v>
      </c>
      <c r="BI42" s="118">
        <f t="shared" si="30"/>
        <v>3.2537142857142841E-2</v>
      </c>
      <c r="BJ42" s="127"/>
      <c r="BK42" s="123"/>
    </row>
    <row r="43" spans="1:63" x14ac:dyDescent="0.3">
      <c r="F43" s="3"/>
      <c r="BJ43" s="122"/>
    </row>
    <row r="44" spans="1:63" x14ac:dyDescent="0.3">
      <c r="F44" s="3" t="s">
        <v>489</v>
      </c>
      <c r="H44" s="218">
        <f>SUM(H4:H42)-SUM(H32:H33)</f>
        <v>808.98715484885702</v>
      </c>
      <c r="I44" s="218">
        <f t="shared" ref="I44:BE44" si="41">SUM(I4:I42)-SUM(I32:I33)</f>
        <v>814.48634732207324</v>
      </c>
      <c r="J44" s="218">
        <f t="shared" si="41"/>
        <v>820.0652237256777</v>
      </c>
      <c r="K44" s="218">
        <f t="shared" si="41"/>
        <v>825.72502161999319</v>
      </c>
      <c r="L44" s="218">
        <f t="shared" si="41"/>
        <v>831.46699992927802</v>
      </c>
      <c r="M44" s="218">
        <f t="shared" si="41"/>
        <v>837.29243936237162</v>
      </c>
      <c r="N44" s="218">
        <f t="shared" si="41"/>
        <v>843.202642842758</v>
      </c>
      <c r="O44" s="218">
        <f t="shared" si="41"/>
        <v>849.19893594827317</v>
      </c>
      <c r="P44" s="218">
        <f t="shared" si="41"/>
        <v>855.2826673606944</v>
      </c>
      <c r="Q44" s="218">
        <f t="shared" si="41"/>
        <v>861.45520932546265</v>
      </c>
      <c r="R44" s="218">
        <f t="shared" si="41"/>
        <v>867.71795812178061</v>
      </c>
      <c r="S44" s="218">
        <f t="shared" si="41"/>
        <v>971.57359274631449</v>
      </c>
      <c r="T44" s="218">
        <f t="shared" si="41"/>
        <v>880.51978439001903</v>
      </c>
      <c r="U44" s="218">
        <f t="shared" si="41"/>
        <v>887.06177897058001</v>
      </c>
      <c r="V44" s="218">
        <f t="shared" si="41"/>
        <v>893.6998156170522</v>
      </c>
      <c r="W44" s="218">
        <f t="shared" si="41"/>
        <v>900.43541821067629</v>
      </c>
      <c r="X44" s="218">
        <f t="shared" si="41"/>
        <v>907.27013771995632</v>
      </c>
      <c r="Y44" s="218">
        <f t="shared" si="41"/>
        <v>914.20555275102606</v>
      </c>
      <c r="Z44" s="218">
        <f t="shared" si="41"/>
        <v>921.24327011066498</v>
      </c>
      <c r="AA44" s="218">
        <f t="shared" si="41"/>
        <v>9446.4057176073184</v>
      </c>
      <c r="AB44" s="218">
        <f t="shared" si="41"/>
        <v>935.63218351511728</v>
      </c>
      <c r="AC44" s="218">
        <f t="shared" si="41"/>
        <v>942.98673942724145</v>
      </c>
      <c r="AD44" s="218">
        <f t="shared" si="41"/>
        <v>950.45031862228313</v>
      </c>
      <c r="AE44" s="218">
        <f t="shared" si="41"/>
        <v>1073.495102985732</v>
      </c>
      <c r="AF44" s="218">
        <f t="shared" si="41"/>
        <v>965.7116056053643</v>
      </c>
      <c r="AG44" s="218">
        <f t="shared" si="41"/>
        <v>973.51292308294728</v>
      </c>
      <c r="AH44" s="218">
        <f t="shared" si="41"/>
        <v>981.43048455975577</v>
      </c>
      <c r="AI44" s="218">
        <f t="shared" si="41"/>
        <v>989.46617823412487</v>
      </c>
      <c r="AJ44" s="218">
        <f t="shared" si="41"/>
        <v>997.62192690475183</v>
      </c>
      <c r="AK44" s="218">
        <f t="shared" si="41"/>
        <v>1407.7859063681394</v>
      </c>
      <c r="AL44" s="218">
        <f t="shared" si="41"/>
        <v>1014.301457798528</v>
      </c>
      <c r="AM44" s="218">
        <f t="shared" si="41"/>
        <v>1022.8292652317762</v>
      </c>
      <c r="AN44" s="218">
        <f t="shared" si="41"/>
        <v>1031.4851796185869</v>
      </c>
      <c r="AO44" s="218">
        <f t="shared" si="41"/>
        <v>1040.2713079825903</v>
      </c>
      <c r="AP44" s="218">
        <f t="shared" si="41"/>
        <v>1049.189796562719</v>
      </c>
      <c r="AQ44" s="218">
        <f t="shared" si="41"/>
        <v>1193.6265706905053</v>
      </c>
      <c r="AR44" s="218">
        <f t="shared" si="41"/>
        <v>1067.4326404284732</v>
      </c>
      <c r="AS44" s="218">
        <f t="shared" si="41"/>
        <v>1076.7614918757977</v>
      </c>
      <c r="AT44" s="218">
        <f t="shared" si="41"/>
        <v>1086.2316976323241</v>
      </c>
      <c r="AU44" s="218">
        <f t="shared" si="41"/>
        <v>14358.68138931947</v>
      </c>
      <c r="AV44" s="218">
        <f t="shared" si="41"/>
        <v>1105.6056375330145</v>
      </c>
      <c r="AW44" s="218">
        <f t="shared" si="41"/>
        <v>1115.5142166899095</v>
      </c>
      <c r="AX44" s="218">
        <f t="shared" si="41"/>
        <v>1125.5738421270898</v>
      </c>
      <c r="AY44" s="218">
        <f t="shared" si="41"/>
        <v>1135.7870530523689</v>
      </c>
      <c r="AZ44" s="218">
        <f t="shared" si="41"/>
        <v>1146.1564371883337</v>
      </c>
      <c r="BA44" s="218">
        <f t="shared" si="41"/>
        <v>1156.6846318297748</v>
      </c>
      <c r="BB44" s="218">
        <f t="shared" si="41"/>
        <v>1167.3743249267413</v>
      </c>
      <c r="BC44" s="218">
        <f t="shared" si="41"/>
        <v>1336.959435810609</v>
      </c>
      <c r="BD44" s="218">
        <f t="shared" si="41"/>
        <v>1189.2492182467904</v>
      </c>
      <c r="BE44" s="218">
        <f t="shared" si="41"/>
        <v>1200.4400577659428</v>
      </c>
      <c r="BJ44" s="122"/>
    </row>
    <row r="45" spans="1:63" x14ac:dyDescent="0.3">
      <c r="F45" s="3"/>
      <c r="BJ45" s="122"/>
    </row>
    <row r="46" spans="1:63" x14ac:dyDescent="0.3">
      <c r="F46" s="3"/>
      <c r="BJ46" s="122"/>
    </row>
    <row r="47" spans="1:63" x14ac:dyDescent="0.3">
      <c r="F47" s="3"/>
      <c r="BJ47" s="122"/>
    </row>
    <row r="48" spans="1:63" x14ac:dyDescent="0.3">
      <c r="F48" s="3"/>
      <c r="BJ48" s="122"/>
    </row>
    <row r="49" spans="6:62" x14ac:dyDescent="0.3">
      <c r="F49" s="3"/>
      <c r="BJ49" s="122"/>
    </row>
    <row r="50" spans="6:62" x14ac:dyDescent="0.3">
      <c r="BJ50" s="122"/>
    </row>
  </sheetData>
  <customSheetViews>
    <customSheetView guid="{A466747D-BC11-4359-8DB2-79FDF5927363}" topLeftCell="AY1">
      <pane ySplit="1" topLeftCell="A2" activePane="bottomLeft" state="frozen"/>
      <selection pane="bottomLeft" activeCell="BI12" sqref="BI12"/>
      <pageMargins left="0.7" right="0.7" top="0.75" bottom="0.75" header="0.3" footer="0.3"/>
      <pageSetup paperSize="9" orientation="portrait" r:id="rId1"/>
    </customSheetView>
    <customSheetView guid="{076EF5BB-A6AA-4ACD-9CF4-82C37E85D83C}" topLeftCell="E1">
      <pane ySplit="1" topLeftCell="A2" activePane="bottomLeft" state="frozen"/>
      <selection pane="bottomLeft" activeCell="I2" sqref="I2"/>
      <pageMargins left="0.7" right="0.7" top="0.75" bottom="0.75" header="0.3" footer="0.3"/>
      <pageSetup paperSize="9" orientation="portrait" r:id="rId2"/>
    </customSheetView>
    <customSheetView guid="{6774CEDA-A5AA-4ECD-96FF-5AD648D47675}" topLeftCell="AY1">
      <selection activeCell="BG4" sqref="BG4"/>
      <pageMargins left="0.7" right="0.7" top="0.75" bottom="0.75" header="0.3" footer="0.3"/>
      <pageSetup paperSize="9" orientation="portrait" r:id="rId3"/>
    </customSheetView>
    <customSheetView guid="{519414D7-B194-4B83-AA2D-520F5FD85EC7}" topLeftCell="AY1">
      <pane ySplit="1" topLeftCell="A2" activePane="bottomLeft" state="frozen"/>
      <selection pane="bottomLeft" activeCell="BI12" sqref="BI12"/>
      <pageMargins left="0.7" right="0.7" top="0.75" bottom="0.75" header="0.3" footer="0.3"/>
      <pageSetup paperSize="9" orientation="portrait" r:id="rId4"/>
    </customSheetView>
  </customSheetViews>
  <pageMargins left="0.7" right="0.7" top="0.75" bottom="0.75" header="0.3" footer="0.3"/>
  <pageSetup paperSize="9" orientation="portrait"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topLeftCell="B6" workbookViewId="0">
      <selection activeCell="E28" sqref="E28"/>
    </sheetView>
  </sheetViews>
  <sheetFormatPr baseColWidth="10" defaultColWidth="11.44140625" defaultRowHeight="14.4" x14ac:dyDescent="0.3"/>
  <cols>
    <col min="3" max="3" width="22.109375" customWidth="1"/>
    <col min="4" max="4" width="12.33203125" bestFit="1" customWidth="1"/>
  </cols>
  <sheetData>
    <row r="2" spans="2:5" x14ac:dyDescent="0.3">
      <c r="B2" t="s">
        <v>469</v>
      </c>
      <c r="D2">
        <f>Calculation_Period</f>
        <v>50</v>
      </c>
      <c r="E2" t="s">
        <v>470</v>
      </c>
    </row>
    <row r="4" spans="2:5" x14ac:dyDescent="0.3">
      <c r="B4" s="116" t="s">
        <v>88</v>
      </c>
      <c r="C4" s="116"/>
    </row>
    <row r="5" spans="2:5" x14ac:dyDescent="0.3">
      <c r="B5" s="116">
        <f>IF(Calculation_Period=50,SUM(Calculation!BI$3:BI$27),IF(Calculation_Period=30,SUM(Calculation!BH$3:BH$27),SUM(Calculation!BG$3:BG$27)))</f>
        <v>56445.931831159134</v>
      </c>
      <c r="C5" s="116"/>
      <c r="D5">
        <f>B5/50/12</f>
        <v>94.076553051931896</v>
      </c>
      <c r="E5" s="2">
        <f>D5/D$19</f>
        <v>0.70586249122681632</v>
      </c>
    </row>
    <row r="6" spans="2:5" x14ac:dyDescent="0.3">
      <c r="B6" s="117"/>
      <c r="C6" s="117"/>
      <c r="E6" s="2"/>
    </row>
    <row r="7" spans="2:5" x14ac:dyDescent="0.3">
      <c r="B7" s="116" t="s">
        <v>89</v>
      </c>
      <c r="C7" s="116"/>
      <c r="E7" s="2"/>
    </row>
    <row r="8" spans="2:5" x14ac:dyDescent="0.3">
      <c r="B8" s="116">
        <f>Calculation!BI30</f>
        <v>0</v>
      </c>
      <c r="C8" s="116"/>
      <c r="D8">
        <f>B8/50/12</f>
        <v>0</v>
      </c>
      <c r="E8" s="2"/>
    </row>
    <row r="9" spans="2:5" x14ac:dyDescent="0.3">
      <c r="E9" s="2"/>
    </row>
    <row r="10" spans="2:5" x14ac:dyDescent="0.3">
      <c r="B10" s="118" t="s">
        <v>85</v>
      </c>
      <c r="C10" s="118"/>
      <c r="E10" s="2"/>
    </row>
    <row r="11" spans="2:5" x14ac:dyDescent="0.3">
      <c r="B11" s="118">
        <f>IF(Calculation_Period=50,SUM(Calculation!BI$38:BI$42),IF(Calculation_Period=30,SUM(Calculation!BH$38:BH$42),SUM(Calculation!BH$38:BH$42)))</f>
        <v>22418.799317412526</v>
      </c>
      <c r="C11" s="118"/>
      <c r="D11">
        <f>B11/50/12</f>
        <v>37.364665529020876</v>
      </c>
      <c r="E11" s="2">
        <f>D11/D$19</f>
        <v>0.28034951365206107</v>
      </c>
    </row>
    <row r="12" spans="2:5" x14ac:dyDescent="0.3">
      <c r="E12" s="2"/>
    </row>
    <row r="13" spans="2:5" x14ac:dyDescent="0.3">
      <c r="B13" s="126" t="s">
        <v>86</v>
      </c>
      <c r="C13" s="126"/>
      <c r="E13" s="2"/>
    </row>
    <row r="14" spans="2:5" x14ac:dyDescent="0.3">
      <c r="B14" s="126">
        <f>IF(Calculation_Period=50,SUM(Calculation!BI$35:BI$36),IF(Calculation_Period=30,SUM(Calculation!BH$35:BH$36),SUM(Calculation!BH$35:BH$36)))</f>
        <v>285.38902033817971</v>
      </c>
      <c r="C14" s="126"/>
      <c r="D14">
        <f>B14/50/12</f>
        <v>0.47564836723029952</v>
      </c>
      <c r="E14" s="2">
        <f>D14/D$19</f>
        <v>3.5688206099112837E-3</v>
      </c>
    </row>
    <row r="15" spans="2:5" x14ac:dyDescent="0.3">
      <c r="E15" s="2"/>
    </row>
    <row r="16" spans="2:5" x14ac:dyDescent="0.3">
      <c r="B16" s="130" t="s">
        <v>87</v>
      </c>
      <c r="C16" s="130"/>
      <c r="E16" s="2"/>
    </row>
    <row r="17" spans="2:6" x14ac:dyDescent="0.3">
      <c r="B17" s="130">
        <f>SUM(Calculation!BJ3:BJ27)</f>
        <v>817.2</v>
      </c>
      <c r="C17" s="130"/>
      <c r="D17">
        <f>B17/50/12</f>
        <v>1.3620000000000001</v>
      </c>
      <c r="E17" s="2">
        <f>D17/D$19</f>
        <v>1.0219174511211342E-2</v>
      </c>
    </row>
    <row r="18" spans="2:6" x14ac:dyDescent="0.3">
      <c r="B18" t="s">
        <v>429</v>
      </c>
      <c r="D18">
        <f>Calculation!BF28/50/12</f>
        <v>22.919763368729676</v>
      </c>
      <c r="E18" s="2"/>
    </row>
    <row r="19" spans="2:6" x14ac:dyDescent="0.3">
      <c r="D19">
        <f>SUM(D5:D17)</f>
        <v>133.27886694818307</v>
      </c>
      <c r="E19" s="2"/>
    </row>
    <row r="22" spans="2:6" x14ac:dyDescent="0.3">
      <c r="B22" t="s">
        <v>3</v>
      </c>
    </row>
    <row r="23" spans="2:6" x14ac:dyDescent="0.3">
      <c r="B23" s="134" t="s">
        <v>419</v>
      </c>
      <c r="C23" s="134"/>
      <c r="D23" s="149">
        <f>SUM(Calculation!$G4:$G8)</f>
        <v>3503</v>
      </c>
      <c r="E23" s="156">
        <f>SUM(Calculation!$G4:$G8)/Calculation_Period/12/8.9</f>
        <v>0.65599250936329589</v>
      </c>
      <c r="F23" s="211">
        <f>E23/E$24*100</f>
        <v>9.0312197898543687</v>
      </c>
    </row>
    <row r="24" spans="2:6" x14ac:dyDescent="0.3">
      <c r="B24" s="147" t="s">
        <v>414</v>
      </c>
      <c r="C24" s="147"/>
      <c r="D24" s="150">
        <f>SUM(Calculation!$G10:$G31)</f>
        <v>38787.673000000003</v>
      </c>
      <c r="E24" s="157">
        <f>SUM(Calculation!$G10:$G31)/Calculation_Period/12/8.9</f>
        <v>7.2636091760299628</v>
      </c>
      <c r="F24" s="210">
        <f t="shared" ref="F24:F29" si="0">E24/E$24*100</f>
        <v>100</v>
      </c>
    </row>
    <row r="25" spans="2:6" x14ac:dyDescent="0.3">
      <c r="B25" s="116" t="s">
        <v>415</v>
      </c>
      <c r="C25" s="116"/>
      <c r="D25" s="203">
        <f>IF(Calculation_Period=50,Calculation!BI32,IF(Calculation_Period=30,Calculation!BG32,Calculation!BH32))</f>
        <v>27106.561914313097</v>
      </c>
      <c r="E25" s="158">
        <f>D25/Calculation_Period/12/8.9</f>
        <v>5.0761351899462728</v>
      </c>
      <c r="F25" s="209">
        <f t="shared" si="0"/>
        <v>69.884475705240419</v>
      </c>
    </row>
    <row r="26" spans="2:6" x14ac:dyDescent="0.3">
      <c r="B26" s="148" t="s">
        <v>416</v>
      </c>
      <c r="C26" s="148"/>
      <c r="D26" s="151">
        <f>B5-D25</f>
        <v>29339.369916846037</v>
      </c>
      <c r="E26" s="158">
        <f>D26/Calculation_Period/12/8.9</f>
        <v>5.4942640293719176</v>
      </c>
      <c r="F26" s="209">
        <f t="shared" si="0"/>
        <v>75.640964377641424</v>
      </c>
    </row>
    <row r="27" spans="2:6" x14ac:dyDescent="0.3">
      <c r="B27" s="118" t="s">
        <v>417</v>
      </c>
      <c r="C27" s="118"/>
      <c r="D27" s="152">
        <f>$D11*Calculation_Period*12</f>
        <v>22418.799317412526</v>
      </c>
      <c r="E27" s="159">
        <f>D27/Calculation_Period/12/8.9</f>
        <v>4.1982770257326827</v>
      </c>
      <c r="F27" s="208">
        <f t="shared" si="0"/>
        <v>57.798773639791499</v>
      </c>
    </row>
    <row r="28" spans="2:6" x14ac:dyDescent="0.3">
      <c r="B28" s="133" t="s">
        <v>418</v>
      </c>
      <c r="C28" s="133"/>
      <c r="D28" s="153">
        <f>$D14*50*12</f>
        <v>285.38902033817971</v>
      </c>
      <c r="E28" s="160">
        <f>D28/Calculation_Period/12/8.9</f>
        <v>5.3443636767449385E-2</v>
      </c>
      <c r="F28" s="207">
        <f t="shared" si="0"/>
        <v>0.73577247167722515</v>
      </c>
    </row>
    <row r="29" spans="2:6" x14ac:dyDescent="0.3">
      <c r="B29" s="132" t="s">
        <v>87</v>
      </c>
      <c r="C29" s="132"/>
      <c r="D29" s="154">
        <f>$D17*50*12</f>
        <v>817.2</v>
      </c>
      <c r="E29" s="161">
        <f>$D17/Building_surface*1000</f>
        <v>0.15547945205479455</v>
      </c>
      <c r="F29" s="206">
        <f t="shared" si="0"/>
        <v>2.1405261253300836</v>
      </c>
    </row>
    <row r="30" spans="2:6" x14ac:dyDescent="0.3">
      <c r="D30" s="155">
        <f>SUM(D23:D29)</f>
        <v>122257.99316890984</v>
      </c>
      <c r="E30" s="162">
        <f>SUM(E23:E29)</f>
        <v>22.89720101926638</v>
      </c>
    </row>
    <row r="31" spans="2:6" x14ac:dyDescent="0.3">
      <c r="D31" s="174" t="s">
        <v>423</v>
      </c>
      <c r="E31" t="s">
        <v>425</v>
      </c>
      <c r="F31" t="s">
        <v>424</v>
      </c>
    </row>
  </sheetData>
  <customSheetViews>
    <customSheetView guid="{A466747D-BC11-4359-8DB2-79FDF5927363}" topLeftCell="B6">
      <selection activeCell="E28" sqref="E28"/>
      <pageMargins left="0.7" right="0.7" top="0.75" bottom="0.75" header="0.3" footer="0.3"/>
      <pageSetup paperSize="9" orientation="portrait" r:id="rId1"/>
    </customSheetView>
    <customSheetView guid="{076EF5BB-A6AA-4ACD-9CF4-82C37E85D83C}" topLeftCell="B19">
      <selection activeCell="F30" sqref="F30"/>
      <pageMargins left="0.7" right="0.7" top="0.75" bottom="0.75" header="0.3" footer="0.3"/>
      <pageSetup paperSize="9" orientation="portrait" r:id="rId2"/>
    </customSheetView>
    <customSheetView guid="{6774CEDA-A5AA-4ECD-96FF-5AD648D47675}" topLeftCell="B1">
      <selection activeCell="D2" sqref="D2"/>
      <pageMargins left="0.7" right="0.7" top="0.75" bottom="0.75" header="0.3" footer="0.3"/>
      <pageSetup paperSize="9" orientation="portrait" r:id="rId3"/>
    </customSheetView>
    <customSheetView guid="{519414D7-B194-4B83-AA2D-520F5FD85EC7}" topLeftCell="B6">
      <selection activeCell="E28" sqref="E28"/>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9"/>
  <sheetViews>
    <sheetView workbookViewId="0"/>
  </sheetViews>
  <sheetFormatPr baseColWidth="10" defaultColWidth="11.44140625" defaultRowHeight="14.4" x14ac:dyDescent="0.3"/>
  <cols>
    <col min="1" max="1" width="35.109375" customWidth="1"/>
    <col min="2" max="2" width="14.6640625" customWidth="1"/>
  </cols>
  <sheetData>
    <row r="3" spans="1:3" x14ac:dyDescent="0.3">
      <c r="A3" t="s">
        <v>469</v>
      </c>
      <c r="B3">
        <v>50</v>
      </c>
      <c r="C3">
        <v>50</v>
      </c>
    </row>
    <row r="4" spans="1:3" x14ac:dyDescent="0.3">
      <c r="B4" s="135" t="s">
        <v>421</v>
      </c>
      <c r="C4" s="141" t="s">
        <v>422</v>
      </c>
    </row>
    <row r="5" spans="1:3" x14ac:dyDescent="0.3">
      <c r="A5" s="134" t="s">
        <v>419</v>
      </c>
      <c r="B5" s="136">
        <v>5.8383333333333338</v>
      </c>
      <c r="C5" s="141">
        <v>5.84</v>
      </c>
    </row>
    <row r="6" spans="1:3" x14ac:dyDescent="0.3">
      <c r="A6" s="134" t="s">
        <v>414</v>
      </c>
      <c r="B6" s="136">
        <v>64.646121666666673</v>
      </c>
      <c r="C6" s="141">
        <v>67</v>
      </c>
    </row>
    <row r="7" spans="1:3" x14ac:dyDescent="0.3">
      <c r="A7" s="116" t="s">
        <v>415</v>
      </c>
      <c r="B7" s="137">
        <v>45.177603190521829</v>
      </c>
      <c r="C7" s="141">
        <v>47</v>
      </c>
    </row>
    <row r="8" spans="1:3" s="142" customFormat="1" x14ac:dyDescent="0.3">
      <c r="A8" s="142" t="s">
        <v>416</v>
      </c>
      <c r="B8" s="143">
        <v>48.897531176288958</v>
      </c>
      <c r="C8" s="144">
        <v>43</v>
      </c>
    </row>
    <row r="9" spans="1:3" x14ac:dyDescent="0.3">
      <c r="A9" s="118" t="s">
        <v>417</v>
      </c>
      <c r="B9" s="138">
        <v>6.7044586082284852</v>
      </c>
      <c r="C9" s="141">
        <v>6.1</v>
      </c>
    </row>
    <row r="10" spans="1:3" x14ac:dyDescent="0.3">
      <c r="A10" s="133" t="s">
        <v>418</v>
      </c>
      <c r="B10" s="139">
        <v>0.46992586723029955</v>
      </c>
      <c r="C10" s="141">
        <v>0.47</v>
      </c>
    </row>
    <row r="11" spans="1:3" x14ac:dyDescent="0.3">
      <c r="A11" s="132" t="s">
        <v>87</v>
      </c>
      <c r="B11" s="140">
        <v>1.3620000000000001</v>
      </c>
      <c r="C11" s="141">
        <v>1.45</v>
      </c>
    </row>
    <row r="12" spans="1:3" x14ac:dyDescent="0.3">
      <c r="B12" s="135">
        <v>173.09597384226959</v>
      </c>
      <c r="C12" s="141">
        <f>SUM(C5:C11)</f>
        <v>170.85999999999999</v>
      </c>
    </row>
    <row r="13" spans="1:3" x14ac:dyDescent="0.3">
      <c r="B13" s="146">
        <f>SUM(B7:B11)/50</f>
        <v>2.0522303768453911</v>
      </c>
      <c r="C13" s="146">
        <f>SUM(C7:C11)</f>
        <v>98.02</v>
      </c>
    </row>
    <row r="14" spans="1:3" ht="18" x14ac:dyDescent="0.35">
      <c r="A14" s="125"/>
      <c r="B14" s="217"/>
      <c r="C14" s="219"/>
    </row>
    <row r="15" spans="1:3" ht="18" x14ac:dyDescent="0.35">
      <c r="A15" s="125"/>
      <c r="B15" s="217"/>
      <c r="C15" s="219"/>
    </row>
    <row r="16" spans="1:3" x14ac:dyDescent="0.3">
      <c r="A16" s="220"/>
      <c r="B16" s="220"/>
      <c r="C16" s="125"/>
    </row>
    <row r="28" spans="1:8" ht="43.2" x14ac:dyDescent="0.3">
      <c r="A28" s="1" t="s">
        <v>490</v>
      </c>
      <c r="B28" s="1" t="s">
        <v>491</v>
      </c>
      <c r="C28" s="1" t="s">
        <v>493</v>
      </c>
      <c r="D28" s="1" t="s">
        <v>492</v>
      </c>
      <c r="E28" s="1" t="s">
        <v>494</v>
      </c>
      <c r="F28" s="1"/>
      <c r="G28" s="1" t="s">
        <v>516</v>
      </c>
      <c r="H28" s="1" t="s">
        <v>517</v>
      </c>
    </row>
    <row r="29" spans="1:8" x14ac:dyDescent="0.3">
      <c r="A29">
        <v>1</v>
      </c>
      <c r="B29" s="146">
        <f>Calculation!G$31</f>
        <v>21145.336500000001</v>
      </c>
      <c r="C29" s="146">
        <f>Calculation!H$44</f>
        <v>808.98715484885702</v>
      </c>
      <c r="D29" s="146">
        <v>18000</v>
      </c>
      <c r="E29" s="146">
        <v>980</v>
      </c>
      <c r="G29" s="146">
        <f>E29-C29</f>
        <v>171.01284515114298</v>
      </c>
      <c r="H29" s="146">
        <f>D29-B29-G29</f>
        <v>-3316.349345151144</v>
      </c>
    </row>
    <row r="30" spans="1:8" x14ac:dyDescent="0.3">
      <c r="A30">
        <f>A29+1</f>
        <v>2</v>
      </c>
      <c r="B30" s="146">
        <f>Calculation!G$31</f>
        <v>21145.336500000001</v>
      </c>
      <c r="C30" s="146">
        <f>INDEX(Calculation!$H$44:'Calculation'!$BE$44,'Compare Option '!$A30)</f>
        <v>814.48634732207324</v>
      </c>
      <c r="D30" s="146">
        <v>18000</v>
      </c>
      <c r="E30" s="146">
        <f>E$29*INDEX(Calculation!$H$2:'Calculation'!$BE$2,'Compare Option '!$A30)</f>
        <v>1019.7647848108834</v>
      </c>
      <c r="G30" s="146">
        <f>E30-C30</f>
        <v>205.27843748881014</v>
      </c>
      <c r="H30" s="146">
        <f>H29+G30</f>
        <v>-3111.0709076623339</v>
      </c>
    </row>
    <row r="31" spans="1:8" x14ac:dyDescent="0.3">
      <c r="A31">
        <f t="shared" ref="A31:A78" si="0">A30+1</f>
        <v>3</v>
      </c>
      <c r="B31" s="146">
        <f>Calculation!G$31</f>
        <v>21145.336500000001</v>
      </c>
      <c r="C31" s="146">
        <f>INDEX(Calculation!H$44:'Calculation'!BE$44,'Compare Option '!A31)</f>
        <v>820.0652237256777</v>
      </c>
      <c r="D31" s="146">
        <v>18000</v>
      </c>
      <c r="E31" s="146">
        <f>E$29*INDEX(Calculation!$H$2:'Calculation'!$BE$2,'Compare Option '!$A31)</f>
        <v>1033.3750908859665</v>
      </c>
      <c r="G31" s="146">
        <f t="shared" ref="G31:G78" si="1">E31-C31</f>
        <v>213.30986716028883</v>
      </c>
      <c r="H31" s="146">
        <f t="shared" ref="H31:H78" si="2">H30+G31</f>
        <v>-2897.761040502045</v>
      </c>
    </row>
    <row r="32" spans="1:8" x14ac:dyDescent="0.3">
      <c r="A32">
        <f t="shared" si="0"/>
        <v>4</v>
      </c>
      <c r="B32" s="146">
        <f>Calculation!G$31</f>
        <v>21145.336500000001</v>
      </c>
      <c r="C32" s="146">
        <f>INDEX(Calculation!H$44:'Calculation'!BE$44,'Compare Option '!A32)</f>
        <v>825.72502161999319</v>
      </c>
      <c r="D32" s="146">
        <v>18000</v>
      </c>
      <c r="E32" s="146">
        <f>E$29*INDEX(Calculation!$H$2:'Calculation'!$BE$2,'Compare Option '!$A32)</f>
        <v>1047.1670471162784</v>
      </c>
      <c r="G32" s="146">
        <f t="shared" si="1"/>
        <v>221.44202549628517</v>
      </c>
      <c r="H32" s="146">
        <f t="shared" si="2"/>
        <v>-2676.3190150057599</v>
      </c>
    </row>
    <row r="33" spans="1:8" x14ac:dyDescent="0.3">
      <c r="A33">
        <f t="shared" si="0"/>
        <v>5</v>
      </c>
      <c r="B33" s="146">
        <f>Calculation!G$31</f>
        <v>21145.336500000001</v>
      </c>
      <c r="C33" s="146">
        <f>INDEX(Calculation!H$44:'Calculation'!BE$44,'Compare Option '!A33)</f>
        <v>831.46699992927802</v>
      </c>
      <c r="D33" s="146">
        <v>18000</v>
      </c>
      <c r="E33" s="146">
        <f>E$29*INDEX(Calculation!$H$2:'Calculation'!$BE$2,'Compare Option '!$A33)</f>
        <v>1061.143077898354</v>
      </c>
      <c r="G33" s="146">
        <f t="shared" si="1"/>
        <v>229.676077969076</v>
      </c>
      <c r="H33" s="146">
        <f t="shared" si="2"/>
        <v>-2446.6429370366841</v>
      </c>
    </row>
    <row r="34" spans="1:8" x14ac:dyDescent="0.3">
      <c r="A34">
        <f t="shared" si="0"/>
        <v>6</v>
      </c>
      <c r="B34" s="146">
        <f>Calculation!G$31</f>
        <v>21145.336500000001</v>
      </c>
      <c r="C34" s="146">
        <f>INDEX(Calculation!H$44:'Calculation'!BE$44,'Compare Option '!A34)</f>
        <v>837.29243936237162</v>
      </c>
      <c r="D34" s="146">
        <v>18000</v>
      </c>
      <c r="E34" s="146">
        <f>E$29*INDEX(Calculation!$H$2:'Calculation'!$BE$2,'Compare Option '!$A34)</f>
        <v>1075.305639985974</v>
      </c>
      <c r="G34" s="146">
        <f t="shared" si="1"/>
        <v>238.01320062360242</v>
      </c>
      <c r="H34" s="146">
        <f t="shared" si="2"/>
        <v>-2208.6297364130814</v>
      </c>
    </row>
    <row r="35" spans="1:8" x14ac:dyDescent="0.3">
      <c r="A35">
        <f t="shared" si="0"/>
        <v>7</v>
      </c>
      <c r="B35" s="146">
        <f>Calculation!G$31</f>
        <v>21145.336500000001</v>
      </c>
      <c r="C35" s="146">
        <f>INDEX(Calculation!H$44:'Calculation'!BE$44,'Compare Option '!A35)</f>
        <v>843.202642842758</v>
      </c>
      <c r="D35" s="146">
        <v>18000</v>
      </c>
      <c r="E35" s="146">
        <f>E$29*INDEX(Calculation!$H$2:'Calculation'!$BE$2,'Compare Option '!$A35)</f>
        <v>1089.6572229220199</v>
      </c>
      <c r="G35" s="146">
        <f t="shared" si="1"/>
        <v>246.45458007926186</v>
      </c>
      <c r="H35" s="146">
        <f t="shared" si="2"/>
        <v>-1962.1751563338196</v>
      </c>
    </row>
    <row r="36" spans="1:8" x14ac:dyDescent="0.3">
      <c r="A36">
        <f t="shared" si="0"/>
        <v>8</v>
      </c>
      <c r="B36" s="146">
        <f>Calculation!G$31</f>
        <v>21145.336500000001</v>
      </c>
      <c r="C36" s="146">
        <f>INDEX(Calculation!H$44:'Calculation'!BE$44,'Compare Option '!A36)</f>
        <v>849.19893594827317</v>
      </c>
      <c r="D36" s="146">
        <v>18000</v>
      </c>
      <c r="E36" s="146">
        <f>E$29*INDEX(Calculation!$H$2:'Calculation'!$BE$2,'Compare Option '!$A36)</f>
        <v>1104.2003494760952</v>
      </c>
      <c r="G36" s="146">
        <f t="shared" si="1"/>
        <v>255.00141352782202</v>
      </c>
      <c r="H36" s="146">
        <f t="shared" si="2"/>
        <v>-1707.1737428059976</v>
      </c>
    </row>
    <row r="37" spans="1:8" x14ac:dyDescent="0.3">
      <c r="A37">
        <f t="shared" si="0"/>
        <v>9</v>
      </c>
      <c r="B37" s="146">
        <f>Calculation!G$31</f>
        <v>21145.336500000001</v>
      </c>
      <c r="C37" s="146">
        <f>INDEX(Calculation!H$44:'Calculation'!BE$44,'Compare Option '!A37)</f>
        <v>855.2826673606944</v>
      </c>
      <c r="D37" s="146">
        <v>18000</v>
      </c>
      <c r="E37" s="146">
        <f>E$29*INDEX(Calculation!$H$2:'Calculation'!$BE$2,'Compare Option '!$A37)</f>
        <v>1118.9375760879852</v>
      </c>
      <c r="G37" s="146">
        <f t="shared" si="1"/>
        <v>263.65490872729083</v>
      </c>
      <c r="H37" s="146">
        <f t="shared" si="2"/>
        <v>-1443.5188340787067</v>
      </c>
    </row>
    <row r="38" spans="1:8" x14ac:dyDescent="0.3">
      <c r="A38">
        <f t="shared" si="0"/>
        <v>10</v>
      </c>
      <c r="B38" s="146">
        <f>Calculation!G$31</f>
        <v>21145.336500000001</v>
      </c>
      <c r="C38" s="146">
        <f>INDEX(Calculation!H$44:'Calculation'!BE$44,'Compare Option '!A38)</f>
        <v>861.45520932546265</v>
      </c>
      <c r="D38" s="146">
        <v>18000</v>
      </c>
      <c r="E38" s="146">
        <f>E$29*INDEX(Calculation!$H$2:'Calculation'!$BE$2,'Compare Option '!$A38)</f>
        <v>1133.871493317039</v>
      </c>
      <c r="G38" s="146">
        <f t="shared" si="1"/>
        <v>272.41628399157639</v>
      </c>
      <c r="H38" s="146">
        <f t="shared" si="2"/>
        <v>-1171.1025500871303</v>
      </c>
    </row>
    <row r="39" spans="1:8" x14ac:dyDescent="0.3">
      <c r="A39">
        <f t="shared" si="0"/>
        <v>11</v>
      </c>
      <c r="B39" s="146">
        <f>Calculation!G$31</f>
        <v>21145.336500000001</v>
      </c>
      <c r="C39" s="146">
        <f>INDEX(Calculation!H$44:'Calculation'!BE$44,'Compare Option '!A39)</f>
        <v>867.71795812178061</v>
      </c>
      <c r="D39" s="146">
        <v>18000</v>
      </c>
      <c r="E39" s="146">
        <f>E$29*INDEX(Calculation!$H$2:'Calculation'!$BE$2,'Compare Option '!$A39)</f>
        <v>1149.0047262975429</v>
      </c>
      <c r="G39" s="146">
        <f t="shared" si="1"/>
        <v>281.28676817576229</v>
      </c>
      <c r="H39" s="146">
        <f t="shared" si="2"/>
        <v>-889.81578191136805</v>
      </c>
    </row>
    <row r="40" spans="1:8" x14ac:dyDescent="0.3">
      <c r="A40">
        <f t="shared" si="0"/>
        <v>12</v>
      </c>
      <c r="B40" s="146">
        <f>Calculation!G$31</f>
        <v>21145.336500000001</v>
      </c>
      <c r="C40" s="146">
        <f>INDEX(Calculation!H$44:'Calculation'!BE$44,'Compare Option '!A40)</f>
        <v>971.57359274631449</v>
      </c>
      <c r="D40" s="146">
        <v>18000</v>
      </c>
      <c r="E40" s="146">
        <f>E$29*INDEX(Calculation!$H$2:'Calculation'!$BE$2,'Compare Option '!$A40)</f>
        <v>1164.3399352001793</v>
      </c>
      <c r="G40" s="146">
        <f t="shared" si="1"/>
        <v>192.76634245386481</v>
      </c>
      <c r="H40" s="146">
        <f t="shared" si="2"/>
        <v>-697.04943945750324</v>
      </c>
    </row>
    <row r="41" spans="1:8" x14ac:dyDescent="0.3">
      <c r="A41">
        <f t="shared" si="0"/>
        <v>13</v>
      </c>
      <c r="B41" s="146">
        <f>Calculation!G$31</f>
        <v>21145.336500000001</v>
      </c>
      <c r="C41" s="146">
        <f>INDEX(Calculation!H$44:'Calculation'!BE$44,'Compare Option '!A41)</f>
        <v>880.51978439001903</v>
      </c>
      <c r="D41" s="146">
        <v>18000</v>
      </c>
      <c r="E41" s="146">
        <f>E$29*INDEX(Calculation!$H$2:'Calculation'!$BE$2,'Compare Option '!$A41)</f>
        <v>1179.8798156996374</v>
      </c>
      <c r="G41" s="146">
        <f t="shared" si="1"/>
        <v>299.36003130961842</v>
      </c>
      <c r="H41" s="146">
        <f t="shared" si="2"/>
        <v>-397.68940814788482</v>
      </c>
    </row>
    <row r="42" spans="1:8" s="118" customFormat="1" x14ac:dyDescent="0.3">
      <c r="A42" s="118">
        <f t="shared" si="0"/>
        <v>14</v>
      </c>
      <c r="B42" s="277">
        <f>Calculation!G$31</f>
        <v>21145.336500000001</v>
      </c>
      <c r="C42" s="277">
        <f>INDEX(Calculation!H$44:'Calculation'!BE$44,'Compare Option '!A42)</f>
        <v>887.06177897058001</v>
      </c>
      <c r="D42" s="277">
        <v>18000</v>
      </c>
      <c r="E42" s="277">
        <f>E$29*INDEX(Calculation!$H$2:'Calculation'!$BE$2,'Compare Option '!$A42)</f>
        <v>1195.6270994484712</v>
      </c>
      <c r="G42" s="277">
        <f t="shared" si="1"/>
        <v>308.56532047789119</v>
      </c>
      <c r="H42" s="277">
        <f t="shared" si="2"/>
        <v>-89.124087669993628</v>
      </c>
    </row>
    <row r="43" spans="1:8" x14ac:dyDescent="0.3">
      <c r="A43">
        <f t="shared" si="0"/>
        <v>15</v>
      </c>
      <c r="B43" s="146">
        <f>Calculation!G$31</f>
        <v>21145.336500000001</v>
      </c>
      <c r="C43" s="146">
        <f>INDEX(Calculation!H$44:'Calculation'!BE$44,'Compare Option '!A43)</f>
        <v>893.6998156170522</v>
      </c>
      <c r="D43" s="146">
        <v>18000</v>
      </c>
      <c r="E43" s="146">
        <f>E$29*INDEX(Calculation!$H$2:'Calculation'!$BE$2,'Compare Option '!$A43)</f>
        <v>1211.5845545572738</v>
      </c>
      <c r="G43" s="146">
        <f t="shared" si="1"/>
        <v>317.88473894022161</v>
      </c>
      <c r="H43" s="146">
        <f t="shared" si="2"/>
        <v>228.76065127022798</v>
      </c>
    </row>
    <row r="44" spans="1:8" x14ac:dyDescent="0.3">
      <c r="A44">
        <f t="shared" si="0"/>
        <v>16</v>
      </c>
      <c r="B44" s="146">
        <f>Calculation!G$31</f>
        <v>21145.336500000001</v>
      </c>
      <c r="C44" s="146">
        <f>INDEX(Calculation!H$44:'Calculation'!BE$44,'Compare Option '!A44)</f>
        <v>900.43541821067629</v>
      </c>
      <c r="D44" s="146">
        <v>18000</v>
      </c>
      <c r="E44" s="146">
        <f>E$29*INDEX(Calculation!$H$2:'Calculation'!$BE$2,'Compare Option '!$A44)</f>
        <v>1227.7549860812708</v>
      </c>
      <c r="G44" s="146">
        <f t="shared" si="1"/>
        <v>327.31956787059448</v>
      </c>
      <c r="H44" s="146">
        <f t="shared" si="2"/>
        <v>556.08021914082246</v>
      </c>
    </row>
    <row r="45" spans="1:8" x14ac:dyDescent="0.3">
      <c r="A45">
        <f t="shared" si="0"/>
        <v>17</v>
      </c>
      <c r="B45" s="146">
        <f>Calculation!G$31</f>
        <v>21145.336500000001</v>
      </c>
      <c r="C45" s="146">
        <f>INDEX(Calculation!H$44:'Calculation'!BE$44,'Compare Option '!A45)</f>
        <v>907.27013771995632</v>
      </c>
      <c r="D45" s="146">
        <v>18000</v>
      </c>
      <c r="E45" s="146">
        <f>E$29*INDEX(Calculation!$H$2:'Calculation'!$BE$2,'Compare Option '!$A45)</f>
        <v>1244.1412365133983</v>
      </c>
      <c r="G45" s="146">
        <f t="shared" si="1"/>
        <v>336.871098793442</v>
      </c>
      <c r="H45" s="146">
        <f t="shared" si="2"/>
        <v>892.95131793426447</v>
      </c>
    </row>
    <row r="46" spans="1:8" x14ac:dyDescent="0.3">
      <c r="A46">
        <f t="shared" si="0"/>
        <v>18</v>
      </c>
      <c r="B46" s="146">
        <f>Calculation!G$31</f>
        <v>21145.336500000001</v>
      </c>
      <c r="C46" s="146">
        <f>INDEX(Calculation!H$44:'Calculation'!BE$44,'Compare Option '!A46)</f>
        <v>914.20555275102606</v>
      </c>
      <c r="D46" s="146">
        <v>18000</v>
      </c>
      <c r="E46" s="146">
        <f>E$29*INDEX(Calculation!$H$2:'Calculation'!$BE$2,'Compare Option '!$A46)+8200</f>
        <v>9460.7461862839682</v>
      </c>
      <c r="G46" s="146">
        <f t="shared" si="1"/>
        <v>8546.5406335329426</v>
      </c>
      <c r="H46" s="146">
        <f t="shared" si="2"/>
        <v>9439.4919514672074</v>
      </c>
    </row>
    <row r="47" spans="1:8" x14ac:dyDescent="0.3">
      <c r="A47">
        <f t="shared" si="0"/>
        <v>19</v>
      </c>
      <c r="B47" s="146">
        <f>Calculation!G$31</f>
        <v>21145.336500000001</v>
      </c>
      <c r="C47" s="146">
        <f>INDEX(Calculation!H$44:'Calculation'!BE$44,'Compare Option '!A47)</f>
        <v>921.24327011066498</v>
      </c>
      <c r="D47" s="146">
        <v>18000</v>
      </c>
      <c r="E47" s="146">
        <f>E$29*INDEX(Calculation!$H$2:'Calculation'!$BE$2,'Compare Option '!$A47)</f>
        <v>1277.5727542669958</v>
      </c>
      <c r="G47" s="146">
        <f t="shared" si="1"/>
        <v>356.32948415633086</v>
      </c>
      <c r="H47" s="146">
        <f t="shared" si="2"/>
        <v>9795.8214356235385</v>
      </c>
    </row>
    <row r="48" spans="1:8" x14ac:dyDescent="0.3">
      <c r="A48">
        <f t="shared" si="0"/>
        <v>20</v>
      </c>
      <c r="B48" s="146">
        <f>Calculation!G$31</f>
        <v>21145.336500000001</v>
      </c>
      <c r="C48" s="146">
        <f>INDEX(Calculation!H$44:'Calculation'!BE$44,'Compare Option '!A48)</f>
        <v>9446.4057176073184</v>
      </c>
      <c r="D48" s="146">
        <v>18000</v>
      </c>
      <c r="E48" s="146">
        <f>E$29*INDEX(Calculation!$H$2:'Calculation'!$BE$2,'Compare Option '!$A48)</f>
        <v>1294.6238982932978</v>
      </c>
      <c r="G48" s="146">
        <f t="shared" si="1"/>
        <v>-8151.781819314021</v>
      </c>
      <c r="H48" s="146">
        <f t="shared" si="2"/>
        <v>1644.0396163095174</v>
      </c>
    </row>
    <row r="49" spans="1:8" x14ac:dyDescent="0.3">
      <c r="A49">
        <f t="shared" si="0"/>
        <v>21</v>
      </c>
      <c r="B49" s="146">
        <f>Calculation!G$31</f>
        <v>21145.336500000001</v>
      </c>
      <c r="C49" s="146">
        <f>INDEX(Calculation!H$44:'Calculation'!BE$44,'Compare Option '!A49)</f>
        <v>935.63218351511728</v>
      </c>
      <c r="D49" s="146">
        <v>18000</v>
      </c>
      <c r="E49" s="146">
        <f>E$29*INDEX(Calculation!$H$2:'Calculation'!$BE$2,'Compare Option '!$A49)</f>
        <v>1311.9026156704199</v>
      </c>
      <c r="G49" s="146">
        <f t="shared" si="1"/>
        <v>376.27043215530261</v>
      </c>
      <c r="H49" s="146">
        <f t="shared" si="2"/>
        <v>2020.3100484648201</v>
      </c>
    </row>
    <row r="50" spans="1:8" x14ac:dyDescent="0.3">
      <c r="A50">
        <f t="shared" si="0"/>
        <v>22</v>
      </c>
      <c r="B50" s="146">
        <f>Calculation!G$31</f>
        <v>21145.336500000001</v>
      </c>
      <c r="C50" s="146">
        <f>INDEX(Calculation!H$44:'Calculation'!BE$44,'Compare Option '!A50)</f>
        <v>942.98673942724145</v>
      </c>
      <c r="D50" s="146">
        <v>18000</v>
      </c>
      <c r="E50" s="146">
        <f>E$29*INDEX(Calculation!$H$2:'Calculation'!$BE$2,'Compare Option '!$A50)</f>
        <v>1329.411943709521</v>
      </c>
      <c r="G50" s="146">
        <f t="shared" si="1"/>
        <v>386.42520428227954</v>
      </c>
      <c r="H50" s="146">
        <f t="shared" si="2"/>
        <v>2406.7352527470994</v>
      </c>
    </row>
    <row r="51" spans="1:8" x14ac:dyDescent="0.3">
      <c r="A51">
        <f t="shared" si="0"/>
        <v>23</v>
      </c>
      <c r="B51" s="146">
        <f>Calculation!G$31</f>
        <v>21145.336500000001</v>
      </c>
      <c r="C51" s="146">
        <f>INDEX(Calculation!H$44:'Calculation'!BE$44,'Compare Option '!A51)</f>
        <v>950.45031862228313</v>
      </c>
      <c r="D51" s="146">
        <v>18000</v>
      </c>
      <c r="E51" s="146">
        <f>E$29*INDEX(Calculation!$H$2:'Calculation'!$BE$2,'Compare Option '!$A51)</f>
        <v>1347.1549602592768</v>
      </c>
      <c r="G51" s="146">
        <f t="shared" si="1"/>
        <v>396.70464163699364</v>
      </c>
      <c r="H51" s="146">
        <f t="shared" si="2"/>
        <v>2803.4398943840929</v>
      </c>
    </row>
    <row r="52" spans="1:8" x14ac:dyDescent="0.3">
      <c r="A52">
        <f t="shared" si="0"/>
        <v>24</v>
      </c>
      <c r="B52" s="146">
        <f>Calculation!G$31</f>
        <v>21145.336500000001</v>
      </c>
      <c r="C52" s="146">
        <f>INDEX(Calculation!H$44:'Calculation'!BE$44,'Compare Option '!A52)</f>
        <v>1073.495102985732</v>
      </c>
      <c r="D52" s="146">
        <v>18000</v>
      </c>
      <c r="E52" s="146">
        <f>E$29*INDEX(Calculation!$H$2:'Calculation'!$BE$2,'Compare Option '!$A52)</f>
        <v>1365.134784246919</v>
      </c>
      <c r="G52" s="146">
        <f t="shared" si="1"/>
        <v>291.63968126118698</v>
      </c>
      <c r="H52" s="146">
        <f t="shared" si="2"/>
        <v>3095.0795756452799</v>
      </c>
    </row>
    <row r="53" spans="1:8" x14ac:dyDescent="0.3">
      <c r="A53">
        <f t="shared" si="0"/>
        <v>25</v>
      </c>
      <c r="B53" s="146">
        <f>Calculation!G$31</f>
        <v>21145.336500000001</v>
      </c>
      <c r="C53" s="146">
        <f>INDEX(Calculation!H$44:'Calculation'!BE$44,'Compare Option '!A53)</f>
        <v>965.7116056053643</v>
      </c>
      <c r="D53" s="146">
        <v>18000</v>
      </c>
      <c r="E53" s="146">
        <f>E$29*INDEX(Calculation!$H$2:'Calculation'!$BE$2,'Compare Option '!$A53)</f>
        <v>1383.3545762264871</v>
      </c>
      <c r="G53" s="146">
        <f t="shared" si="1"/>
        <v>417.6429706211228</v>
      </c>
      <c r="H53" s="146">
        <f t="shared" si="2"/>
        <v>3512.7225462664028</v>
      </c>
    </row>
    <row r="54" spans="1:8" x14ac:dyDescent="0.3">
      <c r="A54">
        <f t="shared" si="0"/>
        <v>26</v>
      </c>
      <c r="B54" s="146">
        <f>Calculation!G$31</f>
        <v>21145.336500000001</v>
      </c>
      <c r="C54" s="146">
        <f>INDEX(Calculation!H$44:'Calculation'!BE$44,'Compare Option '!A54)</f>
        <v>973.51292308294728</v>
      </c>
      <c r="D54" s="146">
        <v>18000</v>
      </c>
      <c r="E54" s="146">
        <f>E$29*INDEX(Calculation!$H$2:'Calculation'!$BE$2,'Compare Option '!$A54)</f>
        <v>1401.8175389344035</v>
      </c>
      <c r="G54" s="146">
        <f t="shared" si="1"/>
        <v>428.30461585145622</v>
      </c>
      <c r="H54" s="146">
        <f t="shared" si="2"/>
        <v>3941.027162117859</v>
      </c>
    </row>
    <row r="55" spans="1:8" x14ac:dyDescent="0.3">
      <c r="A55">
        <f t="shared" si="0"/>
        <v>27</v>
      </c>
      <c r="B55" s="146">
        <f>Calculation!G$31</f>
        <v>21145.336500000001</v>
      </c>
      <c r="C55" s="146">
        <f>INDEX(Calculation!H$44:'Calculation'!BE$44,'Compare Option '!A55)</f>
        <v>981.43048455975577</v>
      </c>
      <c r="D55" s="146">
        <v>18000</v>
      </c>
      <c r="E55" s="146">
        <f>E$29*INDEX(Calculation!$H$2:'Calculation'!$BE$2,'Compare Option '!$A55)</f>
        <v>1420.52691785246</v>
      </c>
      <c r="G55" s="146">
        <f t="shared" si="1"/>
        <v>439.09643329270421</v>
      </c>
      <c r="H55" s="146">
        <f t="shared" si="2"/>
        <v>4380.1235954105632</v>
      </c>
    </row>
    <row r="56" spans="1:8" x14ac:dyDescent="0.3">
      <c r="A56">
        <f t="shared" si="0"/>
        <v>28</v>
      </c>
      <c r="B56" s="146">
        <f>Calculation!G$31</f>
        <v>21145.336500000001</v>
      </c>
      <c r="C56" s="146">
        <f>INDEX(Calculation!H$44:'Calculation'!BE$44,'Compare Option '!A56)</f>
        <v>989.46617823412487</v>
      </c>
      <c r="D56" s="146">
        <v>18000</v>
      </c>
      <c r="E56" s="146">
        <f>E$29*INDEX(Calculation!$H$2:'Calculation'!$BE$2,'Compare Option '!$A56)</f>
        <v>1439.4860017783203</v>
      </c>
      <c r="G56" s="146">
        <f t="shared" si="1"/>
        <v>450.01982354419545</v>
      </c>
      <c r="H56" s="146">
        <f t="shared" si="2"/>
        <v>4830.143418954759</v>
      </c>
    </row>
    <row r="57" spans="1:8" x14ac:dyDescent="0.3">
      <c r="A57">
        <f t="shared" si="0"/>
        <v>29</v>
      </c>
      <c r="B57" s="146">
        <f>Calculation!G$31</f>
        <v>21145.336500000001</v>
      </c>
      <c r="C57" s="146">
        <f>INDEX(Calculation!H$44:'Calculation'!BE$44,'Compare Option '!A57)</f>
        <v>997.62192690475183</v>
      </c>
      <c r="D57" s="146">
        <v>18000</v>
      </c>
      <c r="E57" s="146">
        <f>E$29*INDEX(Calculation!$H$2:'Calculation'!$BE$2,'Compare Option '!$A57)</f>
        <v>1458.6981234036364</v>
      </c>
      <c r="G57" s="146">
        <f t="shared" si="1"/>
        <v>461.07619649888454</v>
      </c>
      <c r="H57" s="146">
        <f t="shared" si="2"/>
        <v>5291.2196154536432</v>
      </c>
    </row>
    <row r="58" spans="1:8" x14ac:dyDescent="0.3">
      <c r="A58">
        <f t="shared" si="0"/>
        <v>30</v>
      </c>
      <c r="B58" s="146">
        <f>Calculation!G$31</f>
        <v>21145.336500000001</v>
      </c>
      <c r="C58" s="146">
        <f>INDEX(Calculation!H$44:'Calculation'!BE$44,'Compare Option '!A58)</f>
        <v>1407.7859063681394</v>
      </c>
      <c r="D58" s="146">
        <v>18000</v>
      </c>
      <c r="E58" s="146">
        <f>E$29*INDEX(Calculation!$H$2:'Calculation'!$BE$2,'Compare Option '!$A58)</f>
        <v>1478.1666598998786</v>
      </c>
      <c r="G58" s="146">
        <f t="shared" si="1"/>
        <v>70.380753531739174</v>
      </c>
      <c r="H58" s="146">
        <f t="shared" si="2"/>
        <v>5361.6003689853824</v>
      </c>
    </row>
    <row r="59" spans="1:8" x14ac:dyDescent="0.3">
      <c r="A59">
        <f t="shared" si="0"/>
        <v>31</v>
      </c>
      <c r="B59" s="146">
        <f>Calculation!G$31</f>
        <v>21145.336500000001</v>
      </c>
      <c r="C59" s="146">
        <f>INDEX(Calculation!H$44:'Calculation'!BE$44,'Compare Option '!A59)</f>
        <v>1014.301457798528</v>
      </c>
      <c r="D59" s="146">
        <v>18000</v>
      </c>
      <c r="E59" s="146">
        <f>E$29*INDEX(Calculation!$H$2:'Calculation'!$BE$2,'Compare Option '!$A59)</f>
        <v>1497.8950335119873</v>
      </c>
      <c r="G59" s="146">
        <f t="shared" si="1"/>
        <v>483.59357571345936</v>
      </c>
      <c r="H59" s="146">
        <f t="shared" si="2"/>
        <v>5845.1939446988417</v>
      </c>
    </row>
    <row r="60" spans="1:8" x14ac:dyDescent="0.3">
      <c r="A60">
        <f t="shared" si="0"/>
        <v>32</v>
      </c>
      <c r="B60" s="146">
        <f>Calculation!G$31</f>
        <v>21145.336500000001</v>
      </c>
      <c r="C60" s="146">
        <f>INDEX(Calculation!H$44:'Calculation'!BE$44,'Compare Option '!A60)</f>
        <v>1022.8292652317762</v>
      </c>
      <c r="D60" s="146">
        <v>18000</v>
      </c>
      <c r="E60" s="146">
        <f>E$29*INDEX(Calculation!$H$2:'Calculation'!$BE$2,'Compare Option '!$A60)</f>
        <v>1517.8867121599474</v>
      </c>
      <c r="G60" s="146">
        <f t="shared" si="1"/>
        <v>495.0574469281712</v>
      </c>
      <c r="H60" s="146">
        <f t="shared" si="2"/>
        <v>6340.2513916270127</v>
      </c>
    </row>
    <row r="61" spans="1:8" x14ac:dyDescent="0.3">
      <c r="A61">
        <f t="shared" si="0"/>
        <v>33</v>
      </c>
      <c r="B61" s="146">
        <f>Calculation!G$31</f>
        <v>21145.336500000001</v>
      </c>
      <c r="C61" s="146">
        <f>INDEX(Calculation!H$44:'Calculation'!BE$44,'Compare Option '!A61)</f>
        <v>1031.4851796185869</v>
      </c>
      <c r="D61" s="146">
        <v>18000</v>
      </c>
      <c r="E61" s="146">
        <f>E$29*INDEX(Calculation!$H$2:'Calculation'!$BE$2,'Compare Option '!$A61)</f>
        <v>1538.1452100483891</v>
      </c>
      <c r="G61" s="146">
        <f t="shared" si="1"/>
        <v>506.66003042980219</v>
      </c>
      <c r="H61" s="146">
        <f t="shared" si="2"/>
        <v>6846.9114220568154</v>
      </c>
    </row>
    <row r="62" spans="1:8" x14ac:dyDescent="0.3">
      <c r="A62">
        <f t="shared" si="0"/>
        <v>34</v>
      </c>
      <c r="B62" s="146">
        <f>Calculation!G$31</f>
        <v>21145.336500000001</v>
      </c>
      <c r="C62" s="146">
        <f>INDEX(Calculation!H$44:'Calculation'!BE$44,'Compare Option '!A62)</f>
        <v>1040.2713079825903</v>
      </c>
      <c r="D62" s="146">
        <v>18000</v>
      </c>
      <c r="E62" s="146">
        <f>E$29*INDEX(Calculation!$H$2:'Calculation'!$BE$2,'Compare Option '!$A62)</f>
        <v>1558.6740882843292</v>
      </c>
      <c r="G62" s="146">
        <f t="shared" si="1"/>
        <v>518.40278030173886</v>
      </c>
      <c r="H62" s="146">
        <f t="shared" si="2"/>
        <v>7365.3142023585542</v>
      </c>
    </row>
    <row r="63" spans="1:8" x14ac:dyDescent="0.3">
      <c r="A63">
        <f t="shared" si="0"/>
        <v>35</v>
      </c>
      <c r="B63" s="146">
        <f>Calculation!G$31</f>
        <v>21145.336500000001</v>
      </c>
      <c r="C63" s="146">
        <f>INDEX(Calculation!H$44:'Calculation'!BE$44,'Compare Option '!A63)</f>
        <v>1049.189796562719</v>
      </c>
      <c r="D63" s="146">
        <v>18000</v>
      </c>
      <c r="E63" s="146">
        <f>E$29*INDEX(Calculation!$H$2:'Calculation'!$BE$2,'Compare Option '!$A63)</f>
        <v>1579.4769555031505</v>
      </c>
      <c r="G63" s="146">
        <f t="shared" si="1"/>
        <v>530.28715894043148</v>
      </c>
      <c r="H63" s="146">
        <f t="shared" si="2"/>
        <v>7895.6013612989855</v>
      </c>
    </row>
    <row r="64" spans="1:8" x14ac:dyDescent="0.3">
      <c r="A64">
        <f t="shared" si="0"/>
        <v>36</v>
      </c>
      <c r="B64" s="146">
        <f>Calculation!G$31</f>
        <v>21145.336500000001</v>
      </c>
      <c r="C64" s="146">
        <f>INDEX(Calculation!H$44:'Calculation'!BE$44,'Compare Option '!A64)</f>
        <v>1193.6265706905053</v>
      </c>
      <c r="D64" s="146">
        <v>18000</v>
      </c>
      <c r="E64" s="146">
        <f>E$29*INDEX(Calculation!$H$2:'Calculation'!$BE$2,'Compare Option '!$A64)+8500</f>
        <v>10100.557468502946</v>
      </c>
      <c r="G64" s="146">
        <f t="shared" si="1"/>
        <v>8906.9308978124409</v>
      </c>
      <c r="H64" s="146">
        <f t="shared" si="2"/>
        <v>16802.532259111427</v>
      </c>
    </row>
    <row r="65" spans="1:8" x14ac:dyDescent="0.3">
      <c r="A65">
        <f t="shared" si="0"/>
        <v>37</v>
      </c>
      <c r="B65" s="146">
        <f>Calculation!G$31</f>
        <v>21145.336500000001</v>
      </c>
      <c r="C65" s="146">
        <f>INDEX(Calculation!H$44:'Calculation'!BE$44,'Compare Option '!A65)</f>
        <v>1067.4326404284732</v>
      </c>
      <c r="D65" s="146">
        <v>18000</v>
      </c>
      <c r="E65" s="146">
        <f>E$29*INDEX(Calculation!$H$2:'Calculation'!$BE$2,'Compare Option '!$A65)</f>
        <v>1621.9193328873146</v>
      </c>
      <c r="G65" s="146">
        <f t="shared" si="1"/>
        <v>554.48669245884139</v>
      </c>
      <c r="H65" s="146">
        <f t="shared" si="2"/>
        <v>17357.01895157027</v>
      </c>
    </row>
    <row r="66" spans="1:8" x14ac:dyDescent="0.3">
      <c r="A66">
        <f t="shared" si="0"/>
        <v>38</v>
      </c>
      <c r="B66" s="146">
        <f>Calculation!G$31</f>
        <v>21145.336500000001</v>
      </c>
      <c r="C66" s="146">
        <f>INDEX(Calculation!H$44:'Calculation'!BE$44,'Compare Option '!A66)</f>
        <v>1076.7614918757977</v>
      </c>
      <c r="D66" s="146">
        <v>18000</v>
      </c>
      <c r="E66" s="146">
        <f>E$29*INDEX(Calculation!$H$2:'Calculation'!$BE$2,'Compare Option '!$A66)</f>
        <v>1643.5663037167546</v>
      </c>
      <c r="G66" s="146">
        <f t="shared" si="1"/>
        <v>566.80481184095697</v>
      </c>
      <c r="H66" s="146">
        <f t="shared" si="2"/>
        <v>17923.823763411227</v>
      </c>
    </row>
    <row r="67" spans="1:8" x14ac:dyDescent="0.3">
      <c r="A67">
        <f t="shared" si="0"/>
        <v>39</v>
      </c>
      <c r="B67" s="146">
        <f>Calculation!G$31</f>
        <v>21145.336500000001</v>
      </c>
      <c r="C67" s="146">
        <f>INDEX(Calculation!H$44:'Calculation'!BE$44,'Compare Option '!A67)</f>
        <v>1086.2316976323241</v>
      </c>
      <c r="D67" s="146">
        <v>18000</v>
      </c>
      <c r="E67" s="146">
        <f>E$29*INDEX(Calculation!$H$2:'Calculation'!$BE$2,'Compare Option '!$A67)</f>
        <v>1665.5021861687324</v>
      </c>
      <c r="G67" s="146">
        <f t="shared" si="1"/>
        <v>579.27048853640827</v>
      </c>
      <c r="H67" s="146">
        <f t="shared" si="2"/>
        <v>18503.094251947634</v>
      </c>
    </row>
    <row r="68" spans="1:8" x14ac:dyDescent="0.3">
      <c r="A68">
        <f t="shared" si="0"/>
        <v>40</v>
      </c>
      <c r="B68" s="146">
        <f>Calculation!G$31</f>
        <v>21145.336500000001</v>
      </c>
      <c r="C68" s="146">
        <f>INDEX(Calculation!H$44:'Calculation'!BE$44,'Compare Option '!A68)</f>
        <v>14358.68138931947</v>
      </c>
      <c r="D68" s="146">
        <v>18000</v>
      </c>
      <c r="E68" s="146">
        <f>E$29*INDEX(Calculation!$H$2:'Calculation'!$BE$2,'Compare Option '!$A68)</f>
        <v>1687.7308362065748</v>
      </c>
      <c r="G68" s="146">
        <f t="shared" si="1"/>
        <v>-12670.950553112896</v>
      </c>
      <c r="H68" s="146">
        <f t="shared" si="2"/>
        <v>5832.1436988347377</v>
      </c>
    </row>
    <row r="69" spans="1:8" x14ac:dyDescent="0.3">
      <c r="A69">
        <f t="shared" si="0"/>
        <v>41</v>
      </c>
      <c r="B69" s="146">
        <f>Calculation!G$31</f>
        <v>21145.336500000001</v>
      </c>
      <c r="C69" s="146">
        <f>INDEX(Calculation!H$44:'Calculation'!BE$44,'Compare Option '!A69)</f>
        <v>1105.6056375330145</v>
      </c>
      <c r="D69" s="146">
        <v>18000</v>
      </c>
      <c r="E69" s="146">
        <f>E$29*INDEX(Calculation!$H$2:'Calculation'!$BE$2,'Compare Option '!$A69)</f>
        <v>1710.2561612572799</v>
      </c>
      <c r="G69" s="146">
        <f t="shared" si="1"/>
        <v>604.65052372426544</v>
      </c>
      <c r="H69" s="146">
        <f t="shared" si="2"/>
        <v>6436.7942225590032</v>
      </c>
    </row>
    <row r="70" spans="1:8" x14ac:dyDescent="0.3">
      <c r="A70">
        <f t="shared" si="0"/>
        <v>42</v>
      </c>
      <c r="B70" s="146">
        <f>Calculation!G$31</f>
        <v>21145.336500000001</v>
      </c>
      <c r="C70" s="146">
        <f>INDEX(Calculation!H$44:'Calculation'!BE$44,'Compare Option '!A70)</f>
        <v>1115.5142166899095</v>
      </c>
      <c r="D70" s="146">
        <v>18000</v>
      </c>
      <c r="E70" s="146">
        <f>E$29*INDEX(Calculation!$H$2:'Calculation'!$BE$2,'Compare Option '!$A70)</f>
        <v>1733.0821208983807</v>
      </c>
      <c r="G70" s="146">
        <f t="shared" si="1"/>
        <v>617.56790420847119</v>
      </c>
      <c r="H70" s="146">
        <f t="shared" si="2"/>
        <v>7054.3621267674744</v>
      </c>
    </row>
    <row r="71" spans="1:8" x14ac:dyDescent="0.3">
      <c r="A71">
        <f t="shared" si="0"/>
        <v>43</v>
      </c>
      <c r="B71" s="146">
        <f>Calculation!G$31</f>
        <v>21145.336500000001</v>
      </c>
      <c r="C71" s="146">
        <f>INDEX(Calculation!H$44:'Calculation'!BE$44,'Compare Option '!A71)</f>
        <v>1125.5738421270898</v>
      </c>
      <c r="D71" s="146">
        <v>18000</v>
      </c>
      <c r="E71" s="146">
        <f>E$29*INDEX(Calculation!$H$2:'Calculation'!$BE$2,'Compare Option '!$A71)</f>
        <v>1756.212727553969</v>
      </c>
      <c r="G71" s="146">
        <f t="shared" si="1"/>
        <v>630.63888542687914</v>
      </c>
      <c r="H71" s="146">
        <f t="shared" si="2"/>
        <v>7685.0010121943533</v>
      </c>
    </row>
    <row r="72" spans="1:8" x14ac:dyDescent="0.3">
      <c r="A72">
        <f t="shared" si="0"/>
        <v>44</v>
      </c>
      <c r="B72" s="146">
        <f>Calculation!G$31</f>
        <v>21145.336500000001</v>
      </c>
      <c r="C72" s="146">
        <f>INDEX(Calculation!H$44:'Calculation'!BE$44,'Compare Option '!A72)</f>
        <v>1135.7870530523689</v>
      </c>
      <c r="D72" s="146">
        <v>18000</v>
      </c>
      <c r="E72" s="146">
        <f>E$29*INDEX(Calculation!$H$2:'Calculation'!$BE$2,'Compare Option '!$A72)</f>
        <v>1779.6520472000179</v>
      </c>
      <c r="G72" s="146">
        <f t="shared" si="1"/>
        <v>643.86499414764899</v>
      </c>
      <c r="H72" s="146">
        <f t="shared" si="2"/>
        <v>8328.8660063420029</v>
      </c>
    </row>
    <row r="73" spans="1:8" x14ac:dyDescent="0.3">
      <c r="A73">
        <f t="shared" si="0"/>
        <v>45</v>
      </c>
      <c r="B73" s="146">
        <f>Calculation!G$31</f>
        <v>21145.336500000001</v>
      </c>
      <c r="C73" s="146">
        <f>INDEX(Calculation!H$44:'Calculation'!BE$44,'Compare Option '!A73)</f>
        <v>1146.1564371883337</v>
      </c>
      <c r="D73" s="146">
        <v>18000</v>
      </c>
      <c r="E73" s="146">
        <f>E$29*INDEX(Calculation!$H$2:'Calculation'!$BE$2,'Compare Option '!$A73)</f>
        <v>1803.404200079108</v>
      </c>
      <c r="G73" s="146">
        <f t="shared" si="1"/>
        <v>657.24776289077431</v>
      </c>
      <c r="H73" s="146">
        <f t="shared" si="2"/>
        <v>8986.1137692327775</v>
      </c>
    </row>
    <row r="74" spans="1:8" x14ac:dyDescent="0.3">
      <c r="A74">
        <f t="shared" si="0"/>
        <v>46</v>
      </c>
      <c r="B74" s="146">
        <f>Calculation!G$31</f>
        <v>21145.336500000001</v>
      </c>
      <c r="C74" s="146">
        <f>INDEX(Calculation!H$44:'Calculation'!BE$44,'Compare Option '!A74)</f>
        <v>1156.6846318297748</v>
      </c>
      <c r="D74" s="146">
        <v>18000</v>
      </c>
      <c r="E74" s="146">
        <f>E$29*INDEX(Calculation!$H$2:'Calculation'!$BE$2,'Compare Option '!$A74)</f>
        <v>1827.4733614247018</v>
      </c>
      <c r="G74" s="146">
        <f t="shared" si="1"/>
        <v>670.78872959492696</v>
      </c>
      <c r="H74" s="146">
        <f t="shared" si="2"/>
        <v>9656.9024988277051</v>
      </c>
    </row>
    <row r="75" spans="1:8" x14ac:dyDescent="0.3">
      <c r="A75">
        <f t="shared" si="0"/>
        <v>47</v>
      </c>
      <c r="B75" s="146">
        <f>Calculation!G$31</f>
        <v>21145.336500000001</v>
      </c>
      <c r="C75" s="146">
        <f>INDEX(Calculation!H$44:'Calculation'!BE$44,'Compare Option '!A75)</f>
        <v>1167.3743249267413</v>
      </c>
      <c r="D75" s="146">
        <v>18000</v>
      </c>
      <c r="E75" s="146">
        <f>E$29*INDEX(Calculation!$H$2:'Calculation'!$BE$2,'Compare Option '!$A75)</f>
        <v>1851.863762195075</v>
      </c>
      <c r="G75" s="146">
        <f t="shared" si="1"/>
        <v>684.48943726833363</v>
      </c>
      <c r="H75" s="146">
        <f t="shared" si="2"/>
        <v>10341.391936096039</v>
      </c>
    </row>
    <row r="76" spans="1:8" x14ac:dyDescent="0.3">
      <c r="A76">
        <f t="shared" si="0"/>
        <v>48</v>
      </c>
      <c r="B76" s="146">
        <f>Calculation!G$31</f>
        <v>21145.336500000001</v>
      </c>
      <c r="C76" s="146">
        <f>INDEX(Calculation!H$44:'Calculation'!BE$44,'Compare Option '!A76)</f>
        <v>1336.959435810609</v>
      </c>
      <c r="D76" s="146">
        <v>18000</v>
      </c>
      <c r="E76" s="146">
        <f>E$29*INDEX(Calculation!$H$2:'Calculation'!$BE$2,'Compare Option '!$A76)</f>
        <v>1876.5796898170556</v>
      </c>
      <c r="G76" s="146">
        <f t="shared" si="1"/>
        <v>539.62025400644666</v>
      </c>
      <c r="H76" s="146">
        <f t="shared" si="2"/>
        <v>10881.012190102485</v>
      </c>
    </row>
    <row r="77" spans="1:8" x14ac:dyDescent="0.3">
      <c r="A77">
        <f t="shared" si="0"/>
        <v>49</v>
      </c>
      <c r="B77" s="146">
        <f>Calculation!G$31</f>
        <v>21145.336500000001</v>
      </c>
      <c r="C77" s="146">
        <f>INDEX(Calculation!H$44:'Calculation'!BE$44,'Compare Option '!A77)</f>
        <v>1189.2492182467904</v>
      </c>
      <c r="D77" s="146">
        <v>18000</v>
      </c>
      <c r="E77" s="146">
        <f>E$29*INDEX(Calculation!$H$2:'Calculation'!$BE$2,'Compare Option '!$A77)</f>
        <v>1901.6254889396755</v>
      </c>
      <c r="G77" s="146">
        <f t="shared" si="1"/>
        <v>712.3762706928851</v>
      </c>
      <c r="H77" s="146">
        <f t="shared" si="2"/>
        <v>11593.38846079537</v>
      </c>
    </row>
    <row r="78" spans="1:8" x14ac:dyDescent="0.3">
      <c r="A78">
        <f t="shared" si="0"/>
        <v>50</v>
      </c>
      <c r="B78" s="146">
        <f>Calculation!G$31</f>
        <v>21145.336500000001</v>
      </c>
      <c r="C78" s="146">
        <f>INDEX(Calculation!H$44:'Calculation'!BE$44,'Compare Option '!A78)</f>
        <v>1200.4400577659428</v>
      </c>
      <c r="D78" s="146">
        <v>18000</v>
      </c>
      <c r="E78" s="146">
        <f>E$29*INDEX(Calculation!$H$2:'Calculation'!$BE$2,'Compare Option '!$A78)</f>
        <v>1927.0055621978915</v>
      </c>
      <c r="G78" s="146">
        <f t="shared" si="1"/>
        <v>726.56550443194874</v>
      </c>
      <c r="H78" s="146">
        <f t="shared" si="2"/>
        <v>12319.953965227318</v>
      </c>
    </row>
    <row r="79" spans="1:8" x14ac:dyDescent="0.3">
      <c r="C79">
        <f>INDEX(I$71:I$80,$G$81,1)</f>
        <v>0</v>
      </c>
    </row>
  </sheetData>
  <customSheetViews>
    <customSheetView guid="{A466747D-BC11-4359-8DB2-79FDF5927363}">
      <pageMargins left="0.7" right="0.7" top="0.75" bottom="0.75" header="0.3" footer="0.3"/>
      <pageSetup paperSize="9" orientation="portrait" r:id="rId1"/>
    </customSheetView>
    <customSheetView guid="{076EF5BB-A6AA-4ACD-9CF4-82C37E85D83C}" topLeftCell="A24">
      <selection activeCell="E65" sqref="E65"/>
      <pageMargins left="0.7" right="0.7" top="0.75" bottom="0.75" header="0.3" footer="0.3"/>
      <pageSetup paperSize="9" orientation="portrait" r:id="rId2"/>
    </customSheetView>
    <customSheetView guid="{6774CEDA-A5AA-4ECD-96FF-5AD648D47675}" topLeftCell="A3">
      <selection activeCell="C20" sqref="C20"/>
      <pageMargins left="0.7" right="0.7" top="0.75" bottom="0.75" header="0.3" footer="0.3"/>
      <pageSetup paperSize="9" orientation="portrait" r:id="rId3"/>
    </customSheetView>
    <customSheetView guid="{519414D7-B194-4B83-AA2D-520F5FD85EC7}">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opLeftCell="A8" zoomScale="81" zoomScaleNormal="81" workbookViewId="0">
      <selection activeCell="K12" sqref="K12"/>
    </sheetView>
  </sheetViews>
  <sheetFormatPr baseColWidth="10" defaultRowHeight="14.4" x14ac:dyDescent="0.3"/>
  <cols>
    <col min="3" max="4" width="14.6640625" customWidth="1"/>
    <col min="7" max="7" width="15.88671875" customWidth="1"/>
    <col min="9" max="9" width="19.109375" customWidth="1"/>
    <col min="11" max="11" width="13.6640625" customWidth="1"/>
    <col min="12" max="12" width="18.6640625" customWidth="1"/>
  </cols>
  <sheetData>
    <row r="1" spans="1:12" ht="23.4" thickBot="1" x14ac:dyDescent="0.35">
      <c r="A1" s="278" t="s">
        <v>504</v>
      </c>
      <c r="B1" s="234"/>
      <c r="C1" s="234"/>
      <c r="D1" s="234"/>
      <c r="E1" s="234"/>
      <c r="F1" s="234"/>
      <c r="G1" s="234"/>
      <c r="H1" s="234"/>
      <c r="I1" s="234"/>
      <c r="J1" s="234"/>
      <c r="K1" s="234"/>
      <c r="L1" s="235"/>
    </row>
    <row r="2" spans="1:12" x14ac:dyDescent="0.3">
      <c r="A2" s="236"/>
      <c r="B2" s="236"/>
      <c r="C2" s="236"/>
      <c r="D2" s="236"/>
      <c r="E2" s="236"/>
      <c r="F2" s="236"/>
      <c r="G2" s="236"/>
      <c r="H2" s="236"/>
      <c r="I2" s="236"/>
      <c r="J2" s="237"/>
      <c r="K2" s="237"/>
      <c r="L2" s="238"/>
    </row>
    <row r="3" spans="1:12" ht="19.8" x14ac:dyDescent="0.4">
      <c r="A3" s="239" t="s">
        <v>505</v>
      </c>
      <c r="B3" s="240"/>
      <c r="C3" s="240"/>
      <c r="D3" s="240"/>
      <c r="E3" s="240"/>
      <c r="F3" s="240"/>
      <c r="G3" s="241"/>
      <c r="H3" s="242"/>
      <c r="I3" s="243"/>
      <c r="J3" s="244" t="s">
        <v>506</v>
      </c>
      <c r="K3" s="245">
        <f>Discount_rate</f>
        <v>1.15E-2</v>
      </c>
      <c r="L3" s="246"/>
    </row>
    <row r="4" spans="1:12" ht="17.399999999999999" x14ac:dyDescent="0.3">
      <c r="A4" s="247"/>
      <c r="B4" s="247"/>
      <c r="C4" s="247"/>
      <c r="D4" s="247"/>
      <c r="E4" s="247"/>
      <c r="F4" s="247"/>
      <c r="G4" s="243"/>
      <c r="H4" s="243"/>
      <c r="I4" s="243"/>
      <c r="J4" s="247"/>
      <c r="K4" s="243"/>
      <c r="L4" s="246"/>
    </row>
    <row r="5" spans="1:12" ht="19.8" x14ac:dyDescent="0.4">
      <c r="A5" s="248" t="s">
        <v>507</v>
      </c>
      <c r="B5" s="249"/>
      <c r="C5" s="249"/>
      <c r="D5" s="249"/>
      <c r="E5" s="250"/>
      <c r="F5" s="251"/>
      <c r="G5" s="252"/>
      <c r="H5" s="253"/>
      <c r="I5" s="254"/>
      <c r="J5" s="251" t="s">
        <v>508</v>
      </c>
      <c r="K5" s="255"/>
      <c r="L5" s="256"/>
    </row>
    <row r="6" spans="1:12" ht="19.8" x14ac:dyDescent="0.4">
      <c r="A6" s="257" t="s">
        <v>509</v>
      </c>
      <c r="B6" s="258"/>
      <c r="C6" s="258"/>
      <c r="D6" s="258"/>
      <c r="E6" s="259"/>
      <c r="F6" s="260"/>
      <c r="G6" s="261"/>
      <c r="H6" s="262"/>
      <c r="I6" s="263"/>
      <c r="J6" s="260" t="s">
        <v>510</v>
      </c>
      <c r="K6" s="264">
        <v>150000</v>
      </c>
      <c r="L6" s="265"/>
    </row>
    <row r="7" spans="1:12" ht="19.8" x14ac:dyDescent="0.3">
      <c r="A7" s="266" t="s">
        <v>511</v>
      </c>
      <c r="B7" s="244"/>
      <c r="C7" s="244"/>
      <c r="D7" s="244"/>
      <c r="E7" s="244" t="s">
        <v>512</v>
      </c>
      <c r="F7" s="244"/>
      <c r="G7" s="267"/>
      <c r="H7" s="267"/>
      <c r="I7" s="268"/>
      <c r="J7" s="269" t="s">
        <v>513</v>
      </c>
      <c r="K7" s="270">
        <v>20000</v>
      </c>
      <c r="L7" s="271"/>
    </row>
    <row r="8" spans="1:12" ht="19.8" x14ac:dyDescent="0.3">
      <c r="A8" s="272" t="s">
        <v>514</v>
      </c>
      <c r="B8" s="260"/>
      <c r="C8" s="260"/>
      <c r="D8" s="260"/>
      <c r="E8" s="260" t="s">
        <v>512</v>
      </c>
      <c r="F8" s="260"/>
      <c r="G8" s="273"/>
      <c r="H8" s="273"/>
      <c r="I8" s="274"/>
      <c r="J8" s="275" t="s">
        <v>515</v>
      </c>
      <c r="K8" s="264">
        <v>8000</v>
      </c>
      <c r="L8" s="276"/>
    </row>
    <row r="11" spans="1:12" ht="78" x14ac:dyDescent="0.3">
      <c r="A11" s="221" t="s">
        <v>495</v>
      </c>
      <c r="B11" s="221" t="s">
        <v>443</v>
      </c>
      <c r="C11" s="221" t="s">
        <v>496</v>
      </c>
      <c r="D11" s="221"/>
      <c r="E11" s="222"/>
      <c r="F11" s="222" t="s">
        <v>497</v>
      </c>
      <c r="G11" s="222"/>
      <c r="H11" s="222"/>
      <c r="I11" s="221" t="s">
        <v>498</v>
      </c>
      <c r="J11" s="221" t="s">
        <v>499</v>
      </c>
      <c r="K11" s="221" t="s">
        <v>521</v>
      </c>
      <c r="L11" s="221" t="s">
        <v>500</v>
      </c>
    </row>
    <row r="12" spans="1:12" ht="30" x14ac:dyDescent="0.3">
      <c r="A12" s="221"/>
      <c r="B12" s="221"/>
      <c r="C12" s="223" t="s">
        <v>501</v>
      </c>
      <c r="D12" s="223" t="s">
        <v>502</v>
      </c>
      <c r="E12" s="223" t="s">
        <v>503</v>
      </c>
      <c r="F12" s="223" t="s">
        <v>501</v>
      </c>
      <c r="G12" s="223" t="s">
        <v>502</v>
      </c>
      <c r="H12" s="223" t="s">
        <v>503</v>
      </c>
      <c r="I12" s="221"/>
      <c r="J12" s="221"/>
      <c r="K12" s="221"/>
      <c r="L12" s="221"/>
    </row>
    <row r="13" spans="1:12" x14ac:dyDescent="0.3">
      <c r="A13" s="224">
        <v>1</v>
      </c>
      <c r="B13" s="224">
        <v>2</v>
      </c>
      <c r="C13" s="224">
        <v>3</v>
      </c>
      <c r="D13" s="224">
        <v>4</v>
      </c>
      <c r="E13" s="224">
        <v>5</v>
      </c>
      <c r="F13" s="224">
        <v>6</v>
      </c>
      <c r="G13" s="224">
        <v>7</v>
      </c>
      <c r="H13" s="224">
        <v>8</v>
      </c>
      <c r="I13" s="224">
        <v>9</v>
      </c>
      <c r="J13" s="224">
        <v>10</v>
      </c>
      <c r="K13" s="224">
        <v>11</v>
      </c>
      <c r="L13" s="224">
        <v>12</v>
      </c>
    </row>
    <row r="14" spans="1:12" x14ac:dyDescent="0.3">
      <c r="A14" s="225">
        <v>1</v>
      </c>
      <c r="B14" s="226">
        <f t="shared" ref="B14:B77" si="0">1/POWER((1+$K$3),A14)</f>
        <v>0.98863074641621351</v>
      </c>
      <c r="C14" s="227">
        <f>$K$7</f>
        <v>20000</v>
      </c>
      <c r="D14" s="228"/>
      <c r="E14" s="229">
        <f>(C14+D14)*B14</f>
        <v>19772.61492832427</v>
      </c>
      <c r="F14" s="227">
        <f>$K$8</f>
        <v>8000</v>
      </c>
      <c r="G14" s="230"/>
      <c r="H14" s="229">
        <f>(F14+G14)*B14</f>
        <v>7909.0459713297078</v>
      </c>
      <c r="I14" s="227">
        <f t="shared" ref="I14:I77" si="1">(C14+D14)-(F14+G14)</f>
        <v>12000</v>
      </c>
      <c r="J14" s="231">
        <f>I14*B14</f>
        <v>11863.568956994563</v>
      </c>
      <c r="K14" s="232">
        <f>J14</f>
        <v>11863.568956994563</v>
      </c>
      <c r="L14" s="233">
        <f>K14-($K$6-$K$5)</f>
        <v>-138136.43104300543</v>
      </c>
    </row>
    <row r="15" spans="1:12" x14ac:dyDescent="0.3">
      <c r="A15" s="225">
        <v>2</v>
      </c>
      <c r="B15" s="226">
        <f t="shared" si="0"/>
        <v>0.9773907527594794</v>
      </c>
      <c r="C15" s="227">
        <f t="shared" ref="C15:C78" si="2">$K$7</f>
        <v>20000</v>
      </c>
      <c r="D15" s="228"/>
      <c r="E15" s="229">
        <f t="shared" ref="E15:E78" si="3">(C15+D15)*B15</f>
        <v>19547.815055189589</v>
      </c>
      <c r="F15" s="227">
        <f t="shared" ref="F15:F78" si="4">$K$8</f>
        <v>8000</v>
      </c>
      <c r="G15" s="228"/>
      <c r="H15" s="229">
        <f t="shared" ref="H15:H78" si="5">(F15+G15)*B15</f>
        <v>7819.126022075835</v>
      </c>
      <c r="I15" s="227">
        <f t="shared" si="1"/>
        <v>12000</v>
      </c>
      <c r="J15" s="231">
        <f t="shared" ref="J15:J78" si="6">I15*B15</f>
        <v>11728.689033113753</v>
      </c>
      <c r="K15" s="232">
        <f t="shared" ref="K15:K78" si="7">K14+J15</f>
        <v>23592.257990108315</v>
      </c>
      <c r="L15" s="233">
        <f t="shared" ref="L15:L78" si="8">K15-($K$6-$K$5)</f>
        <v>-126407.74200989169</v>
      </c>
    </row>
    <row r="16" spans="1:12" x14ac:dyDescent="0.3">
      <c r="A16" s="225">
        <v>3</v>
      </c>
      <c r="B16" s="226">
        <f>1/POWER((1+$K$3),A16)</f>
        <v>0.96627854944090874</v>
      </c>
      <c r="C16" s="227">
        <f t="shared" si="2"/>
        <v>20000</v>
      </c>
      <c r="D16" s="228"/>
      <c r="E16" s="229">
        <f t="shared" si="3"/>
        <v>19325.570988818174</v>
      </c>
      <c r="F16" s="227">
        <f t="shared" si="4"/>
        <v>8000</v>
      </c>
      <c r="G16" s="228"/>
      <c r="H16" s="229">
        <f t="shared" si="5"/>
        <v>7730.2283955272696</v>
      </c>
      <c r="I16" s="227">
        <f t="shared" si="1"/>
        <v>12000</v>
      </c>
      <c r="J16" s="231">
        <f t="shared" si="6"/>
        <v>11595.342593290905</v>
      </c>
      <c r="K16" s="232">
        <f t="shared" si="7"/>
        <v>35187.600583399224</v>
      </c>
      <c r="L16" s="233">
        <f t="shared" si="8"/>
        <v>-114812.39941660078</v>
      </c>
    </row>
    <row r="17" spans="1:12" x14ac:dyDescent="0.3">
      <c r="A17" s="225">
        <v>4</v>
      </c>
      <c r="B17" s="226">
        <f t="shared" si="0"/>
        <v>0.95529268357974173</v>
      </c>
      <c r="C17" s="227">
        <f t="shared" si="2"/>
        <v>20000</v>
      </c>
      <c r="D17" s="228"/>
      <c r="E17" s="229">
        <f t="shared" si="3"/>
        <v>19105.853671594836</v>
      </c>
      <c r="F17" s="227">
        <f t="shared" si="4"/>
        <v>8000</v>
      </c>
      <c r="G17" s="228"/>
      <c r="H17" s="229">
        <f t="shared" si="5"/>
        <v>7642.3414686379338</v>
      </c>
      <c r="I17" s="227">
        <f t="shared" si="1"/>
        <v>12000</v>
      </c>
      <c r="J17" s="231">
        <f t="shared" si="6"/>
        <v>11463.512202956901</v>
      </c>
      <c r="K17" s="232">
        <f t="shared" si="7"/>
        <v>46651.112786356127</v>
      </c>
      <c r="L17" s="233">
        <f t="shared" si="8"/>
        <v>-103348.88721364387</v>
      </c>
    </row>
    <row r="18" spans="1:12" x14ac:dyDescent="0.3">
      <c r="A18" s="225">
        <v>5</v>
      </c>
      <c r="B18" s="226">
        <f t="shared" si="0"/>
        <v>0.94443171881338772</v>
      </c>
      <c r="C18" s="227">
        <f t="shared" si="2"/>
        <v>20000</v>
      </c>
      <c r="D18" s="228"/>
      <c r="E18" s="229">
        <f t="shared" si="3"/>
        <v>18888.634376267753</v>
      </c>
      <c r="F18" s="227">
        <f t="shared" si="4"/>
        <v>8000</v>
      </c>
      <c r="G18" s="228"/>
      <c r="H18" s="229">
        <f t="shared" si="5"/>
        <v>7555.4537505071021</v>
      </c>
      <c r="I18" s="227">
        <f t="shared" si="1"/>
        <v>12000</v>
      </c>
      <c r="J18" s="231">
        <f t="shared" si="6"/>
        <v>11333.180625760653</v>
      </c>
      <c r="K18" s="232">
        <f t="shared" si="7"/>
        <v>57984.293412116778</v>
      </c>
      <c r="L18" s="233">
        <f t="shared" si="8"/>
        <v>-92015.706587883222</v>
      </c>
    </row>
    <row r="19" spans="1:12" x14ac:dyDescent="0.3">
      <c r="A19" s="225">
        <v>6</v>
      </c>
      <c r="B19" s="226">
        <f t="shared" si="0"/>
        <v>0.93369423510962701</v>
      </c>
      <c r="C19" s="227">
        <f t="shared" si="2"/>
        <v>20000</v>
      </c>
      <c r="D19" s="228"/>
      <c r="E19" s="229">
        <f t="shared" si="3"/>
        <v>18673.884702192539</v>
      </c>
      <c r="F19" s="227">
        <f t="shared" si="4"/>
        <v>8000</v>
      </c>
      <c r="G19" s="228"/>
      <c r="H19" s="229">
        <f t="shared" si="5"/>
        <v>7469.5538808770161</v>
      </c>
      <c r="I19" s="227">
        <f t="shared" si="1"/>
        <v>12000</v>
      </c>
      <c r="J19" s="231">
        <f t="shared" si="6"/>
        <v>11204.330821315523</v>
      </c>
      <c r="K19" s="232">
        <f t="shared" si="7"/>
        <v>69188.624233432303</v>
      </c>
      <c r="L19" s="233">
        <f t="shared" si="8"/>
        <v>-80811.375766567697</v>
      </c>
    </row>
    <row r="20" spans="1:12" x14ac:dyDescent="0.3">
      <c r="A20" s="225">
        <v>7</v>
      </c>
      <c r="B20" s="226">
        <f t="shared" si="0"/>
        <v>0.92307882858094592</v>
      </c>
      <c r="C20" s="227">
        <f t="shared" si="2"/>
        <v>20000</v>
      </c>
      <c r="D20" s="228"/>
      <c r="E20" s="229">
        <f t="shared" si="3"/>
        <v>18461.57657161892</v>
      </c>
      <c r="F20" s="227">
        <f t="shared" si="4"/>
        <v>8000</v>
      </c>
      <c r="G20" s="228"/>
      <c r="H20" s="229">
        <f t="shared" si="5"/>
        <v>7384.6306286475674</v>
      </c>
      <c r="I20" s="227">
        <f t="shared" si="1"/>
        <v>12000</v>
      </c>
      <c r="J20" s="231">
        <f t="shared" si="6"/>
        <v>11076.945942971352</v>
      </c>
      <c r="K20" s="232">
        <f t="shared" si="7"/>
        <v>80265.570176403649</v>
      </c>
      <c r="L20" s="233">
        <f t="shared" si="8"/>
        <v>-69734.429823596351</v>
      </c>
    </row>
    <row r="21" spans="1:12" x14ac:dyDescent="0.3">
      <c r="A21" s="225">
        <v>8</v>
      </c>
      <c r="B21" s="226">
        <f t="shared" si="0"/>
        <v>0.91258411130098449</v>
      </c>
      <c r="C21" s="227">
        <f t="shared" si="2"/>
        <v>20000</v>
      </c>
      <c r="D21" s="228"/>
      <c r="E21" s="229">
        <f t="shared" si="3"/>
        <v>18251.68222601969</v>
      </c>
      <c r="F21" s="227">
        <f t="shared" si="4"/>
        <v>8000</v>
      </c>
      <c r="G21" s="228"/>
      <c r="H21" s="229">
        <f t="shared" si="5"/>
        <v>7300.6728904078764</v>
      </c>
      <c r="I21" s="227">
        <f t="shared" si="1"/>
        <v>12000</v>
      </c>
      <c r="J21" s="231">
        <f t="shared" si="6"/>
        <v>10951.009335611814</v>
      </c>
      <c r="K21" s="232">
        <f t="shared" si="7"/>
        <v>91216.579512015465</v>
      </c>
      <c r="L21" s="233">
        <f t="shared" si="8"/>
        <v>-58783.420487984535</v>
      </c>
    </row>
    <row r="22" spans="1:12" x14ac:dyDescent="0.3">
      <c r="A22" s="225">
        <v>9</v>
      </c>
      <c r="B22" s="226">
        <f t="shared" si="0"/>
        <v>0.90220871112306911</v>
      </c>
      <c r="C22" s="227">
        <f t="shared" si="2"/>
        <v>20000</v>
      </c>
      <c r="D22" s="228"/>
      <c r="E22" s="229">
        <f t="shared" si="3"/>
        <v>18044.174222461381</v>
      </c>
      <c r="F22" s="227">
        <f t="shared" si="4"/>
        <v>8000</v>
      </c>
      <c r="G22" s="228"/>
      <c r="H22" s="229">
        <f t="shared" si="5"/>
        <v>7217.6696889845525</v>
      </c>
      <c r="I22" s="227">
        <f t="shared" si="1"/>
        <v>12000</v>
      </c>
      <c r="J22" s="231">
        <f t="shared" si="6"/>
        <v>10826.504533476829</v>
      </c>
      <c r="K22" s="232">
        <f t="shared" si="7"/>
        <v>102043.08404549229</v>
      </c>
      <c r="L22" s="233">
        <f t="shared" si="8"/>
        <v>-47956.915954507713</v>
      </c>
    </row>
    <row r="23" spans="1:12" x14ac:dyDescent="0.3">
      <c r="A23" s="225">
        <v>10</v>
      </c>
      <c r="B23" s="226">
        <f t="shared" si="0"/>
        <v>0.89195127150080966</v>
      </c>
      <c r="C23" s="227">
        <f t="shared" si="2"/>
        <v>20000</v>
      </c>
      <c r="D23" s="228">
        <v>10000</v>
      </c>
      <c r="E23" s="229">
        <f t="shared" si="3"/>
        <v>26758.538145024289</v>
      </c>
      <c r="F23" s="227">
        <f t="shared" si="4"/>
        <v>8000</v>
      </c>
      <c r="G23" s="228"/>
      <c r="H23" s="229">
        <f t="shared" si="5"/>
        <v>7135.6101720064771</v>
      </c>
      <c r="I23" s="227">
        <f t="shared" si="1"/>
        <v>22000</v>
      </c>
      <c r="J23" s="231">
        <f t="shared" si="6"/>
        <v>19622.927973017813</v>
      </c>
      <c r="K23" s="232">
        <f t="shared" si="7"/>
        <v>121666.0120185101</v>
      </c>
      <c r="L23" s="233">
        <f t="shared" si="8"/>
        <v>-28333.987981489903</v>
      </c>
    </row>
    <row r="24" spans="1:12" x14ac:dyDescent="0.3">
      <c r="A24" s="225">
        <v>11</v>
      </c>
      <c r="B24" s="226">
        <f t="shared" si="0"/>
        <v>0.88181045131073621</v>
      </c>
      <c r="C24" s="227">
        <f t="shared" si="2"/>
        <v>20000</v>
      </c>
      <c r="D24" s="228"/>
      <c r="E24" s="229">
        <f t="shared" si="3"/>
        <v>17636.209026214725</v>
      </c>
      <c r="F24" s="227">
        <f t="shared" si="4"/>
        <v>8000</v>
      </c>
      <c r="G24" s="228"/>
      <c r="H24" s="229">
        <f t="shared" si="5"/>
        <v>7054.4836104858896</v>
      </c>
      <c r="I24" s="227">
        <f t="shared" si="1"/>
        <v>12000</v>
      </c>
      <c r="J24" s="231">
        <f t="shared" si="6"/>
        <v>10581.725415728835</v>
      </c>
      <c r="K24" s="232">
        <f t="shared" si="7"/>
        <v>132247.73743423892</v>
      </c>
      <c r="L24" s="233">
        <f t="shared" si="8"/>
        <v>-17752.262565761077</v>
      </c>
    </row>
    <row r="25" spans="1:12" x14ac:dyDescent="0.3">
      <c r="A25" s="225">
        <v>12</v>
      </c>
      <c r="B25" s="226">
        <f t="shared" si="0"/>
        <v>0.87178492467695123</v>
      </c>
      <c r="C25" s="227">
        <f t="shared" si="2"/>
        <v>20000</v>
      </c>
      <c r="D25" s="228"/>
      <c r="E25" s="229">
        <f t="shared" si="3"/>
        <v>17435.698493539025</v>
      </c>
      <c r="F25" s="227">
        <f t="shared" si="4"/>
        <v>8000</v>
      </c>
      <c r="G25" s="228"/>
      <c r="H25" s="229">
        <f t="shared" si="5"/>
        <v>6974.2793974156102</v>
      </c>
      <c r="I25" s="227">
        <f t="shared" si="1"/>
        <v>12000</v>
      </c>
      <c r="J25" s="231">
        <f t="shared" si="6"/>
        <v>10461.419096123414</v>
      </c>
      <c r="K25" s="232">
        <f t="shared" si="7"/>
        <v>142709.15653036235</v>
      </c>
      <c r="L25" s="233">
        <f t="shared" si="8"/>
        <v>-7290.8434696376498</v>
      </c>
    </row>
    <row r="26" spans="1:12" x14ac:dyDescent="0.3">
      <c r="A26" s="225">
        <v>13</v>
      </c>
      <c r="B26" s="226">
        <f t="shared" si="0"/>
        <v>0.86187338079777676</v>
      </c>
      <c r="C26" s="227">
        <f t="shared" si="2"/>
        <v>20000</v>
      </c>
      <c r="D26" s="228"/>
      <c r="E26" s="229">
        <f t="shared" si="3"/>
        <v>17237.467615955535</v>
      </c>
      <c r="F26" s="227">
        <f t="shared" si="4"/>
        <v>8000</v>
      </c>
      <c r="G26" s="228"/>
      <c r="H26" s="229">
        <f t="shared" si="5"/>
        <v>6894.9870463822144</v>
      </c>
      <c r="I26" s="227">
        <f t="shared" si="1"/>
        <v>12000</v>
      </c>
      <c r="J26" s="231">
        <f t="shared" si="6"/>
        <v>10342.480569573321</v>
      </c>
      <c r="K26" s="232">
        <f t="shared" si="7"/>
        <v>153051.63709993567</v>
      </c>
      <c r="L26" s="233">
        <f t="shared" si="8"/>
        <v>3051.6370999356732</v>
      </c>
    </row>
    <row r="27" spans="1:12" x14ac:dyDescent="0.3">
      <c r="A27" s="225">
        <v>14</v>
      </c>
      <c r="B27" s="226">
        <f t="shared" si="0"/>
        <v>0.85207452377437143</v>
      </c>
      <c r="C27" s="227">
        <f t="shared" si="2"/>
        <v>20000</v>
      </c>
      <c r="D27" s="228"/>
      <c r="E27" s="229">
        <f t="shared" si="3"/>
        <v>17041.49047548743</v>
      </c>
      <c r="F27" s="227">
        <f t="shared" si="4"/>
        <v>8000</v>
      </c>
      <c r="G27" s="228"/>
      <c r="H27" s="229">
        <f t="shared" si="5"/>
        <v>6816.5961901949713</v>
      </c>
      <c r="I27" s="227">
        <f t="shared" si="1"/>
        <v>12000</v>
      </c>
      <c r="J27" s="231">
        <f t="shared" si="6"/>
        <v>10224.894285292457</v>
      </c>
      <c r="K27" s="232">
        <f t="shared" si="7"/>
        <v>163276.53138522813</v>
      </c>
      <c r="L27" s="233">
        <f t="shared" si="8"/>
        <v>13276.531385228125</v>
      </c>
    </row>
    <row r="28" spans="1:12" x14ac:dyDescent="0.3">
      <c r="A28" s="225">
        <v>15</v>
      </c>
      <c r="B28" s="226">
        <f t="shared" si="0"/>
        <v>0.84238707244129629</v>
      </c>
      <c r="C28" s="227">
        <f t="shared" si="2"/>
        <v>20000</v>
      </c>
      <c r="D28" s="228"/>
      <c r="E28" s="229">
        <f t="shared" si="3"/>
        <v>16847.741448825927</v>
      </c>
      <c r="F28" s="227">
        <f t="shared" si="4"/>
        <v>8000</v>
      </c>
      <c r="G28" s="228">
        <v>30000</v>
      </c>
      <c r="H28" s="229">
        <f t="shared" si="5"/>
        <v>32010.70875276926</v>
      </c>
      <c r="I28" s="227">
        <f t="shared" si="1"/>
        <v>-18000</v>
      </c>
      <c r="J28" s="231">
        <f t="shared" si="6"/>
        <v>-15162.967303943333</v>
      </c>
      <c r="K28" s="232">
        <f t="shared" si="7"/>
        <v>148113.5640812848</v>
      </c>
      <c r="L28" s="233">
        <f t="shared" si="8"/>
        <v>-1886.4359187152004</v>
      </c>
    </row>
    <row r="29" spans="1:12" x14ac:dyDescent="0.3">
      <c r="A29" s="225">
        <v>16</v>
      </c>
      <c r="B29" s="226">
        <f t="shared" si="0"/>
        <v>0.83280976019900765</v>
      </c>
      <c r="C29" s="227">
        <f t="shared" si="2"/>
        <v>20000</v>
      </c>
      <c r="D29" s="228"/>
      <c r="E29" s="229">
        <f t="shared" si="3"/>
        <v>16656.195203980154</v>
      </c>
      <c r="F29" s="227">
        <f t="shared" si="4"/>
        <v>8000</v>
      </c>
      <c r="G29" s="228"/>
      <c r="H29" s="229">
        <f t="shared" si="5"/>
        <v>6662.4780815920612</v>
      </c>
      <c r="I29" s="227">
        <f t="shared" si="1"/>
        <v>12000</v>
      </c>
      <c r="J29" s="231">
        <f t="shared" si="6"/>
        <v>9993.7171223880923</v>
      </c>
      <c r="K29" s="232">
        <f t="shared" si="7"/>
        <v>158107.2812036729</v>
      </c>
      <c r="L29" s="233">
        <f t="shared" si="8"/>
        <v>8107.281203672901</v>
      </c>
    </row>
    <row r="30" spans="1:12" x14ac:dyDescent="0.3">
      <c r="A30" s="225">
        <v>17</v>
      </c>
      <c r="B30" s="226">
        <f t="shared" si="0"/>
        <v>0.82334133484825267</v>
      </c>
      <c r="C30" s="227">
        <f t="shared" si="2"/>
        <v>20000</v>
      </c>
      <c r="D30" s="228"/>
      <c r="E30" s="229">
        <f t="shared" si="3"/>
        <v>16466.826696965054</v>
      </c>
      <c r="F30" s="227">
        <f t="shared" si="4"/>
        <v>8000</v>
      </c>
      <c r="G30" s="228"/>
      <c r="H30" s="229">
        <f t="shared" si="5"/>
        <v>6586.7306787860216</v>
      </c>
      <c r="I30" s="227">
        <f t="shared" si="1"/>
        <v>12000</v>
      </c>
      <c r="J30" s="231">
        <f t="shared" si="6"/>
        <v>9880.0960181790324</v>
      </c>
      <c r="K30" s="232">
        <f t="shared" si="7"/>
        <v>167987.37722185193</v>
      </c>
      <c r="L30" s="233">
        <f t="shared" si="8"/>
        <v>17987.37722185193</v>
      </c>
    </row>
    <row r="31" spans="1:12" x14ac:dyDescent="0.3">
      <c r="A31" s="225">
        <v>18</v>
      </c>
      <c r="B31" s="226">
        <f t="shared" ref="B31" si="9">1/POWER((1+$K$3),A31)</f>
        <v>0.81398055842634964</v>
      </c>
      <c r="C31" s="227">
        <f t="shared" si="2"/>
        <v>20000</v>
      </c>
      <c r="D31" s="228"/>
      <c r="E31" s="229">
        <f t="shared" ref="E31" si="10">(C31+D31)*B31</f>
        <v>16279.611168526993</v>
      </c>
      <c r="F31" s="227">
        <f t="shared" si="4"/>
        <v>8000</v>
      </c>
      <c r="G31" s="228"/>
      <c r="H31" s="229">
        <f t="shared" ref="H31" si="11">(F31+G31)*B31</f>
        <v>6511.8444674107968</v>
      </c>
      <c r="I31" s="227">
        <f t="shared" ref="I31" si="12">(C31+D31)-(F31+G31)</f>
        <v>12000</v>
      </c>
      <c r="J31" s="231">
        <f t="shared" ref="J31" si="13">I31*B31</f>
        <v>9767.7667011161957</v>
      </c>
      <c r="K31" s="232">
        <f t="shared" ref="K31" si="14">K30+J31</f>
        <v>177755.14392296813</v>
      </c>
      <c r="L31" s="233">
        <f t="shared" ref="L31" si="15">K31-($K$6-$K$5)</f>
        <v>27755.143922968127</v>
      </c>
    </row>
    <row r="32" spans="1:12" x14ac:dyDescent="0.3">
      <c r="A32" s="225">
        <v>19</v>
      </c>
      <c r="B32" s="226">
        <f t="shared" si="0"/>
        <v>0.80472620704532827</v>
      </c>
      <c r="C32" s="227">
        <f t="shared" si="2"/>
        <v>20000</v>
      </c>
      <c r="D32" s="228"/>
      <c r="E32" s="229">
        <f t="shared" si="3"/>
        <v>16094.524140906566</v>
      </c>
      <c r="F32" s="227">
        <f t="shared" si="4"/>
        <v>8000</v>
      </c>
      <c r="G32" s="228"/>
      <c r="H32" s="229">
        <f t="shared" si="5"/>
        <v>6437.8096563626259</v>
      </c>
      <c r="I32" s="227">
        <f t="shared" si="1"/>
        <v>12000</v>
      </c>
      <c r="J32" s="231">
        <f t="shared" si="6"/>
        <v>9656.7144845439398</v>
      </c>
      <c r="K32" s="232">
        <f t="shared" si="7"/>
        <v>187411.85840751207</v>
      </c>
      <c r="L32" s="233">
        <f t="shared" si="8"/>
        <v>37411.858407512074</v>
      </c>
    </row>
    <row r="33" spans="1:12" x14ac:dyDescent="0.3">
      <c r="A33" s="225">
        <v>20</v>
      </c>
      <c r="B33" s="226">
        <f t="shared" si="0"/>
        <v>0.7955770707319112</v>
      </c>
      <c r="C33" s="227">
        <f t="shared" si="2"/>
        <v>20000</v>
      </c>
      <c r="D33" s="228">
        <v>10000</v>
      </c>
      <c r="E33" s="229">
        <f t="shared" si="3"/>
        <v>23867.312121957337</v>
      </c>
      <c r="F33" s="227">
        <f t="shared" si="4"/>
        <v>8000</v>
      </c>
      <c r="G33" s="228"/>
      <c r="H33" s="229">
        <f t="shared" si="5"/>
        <v>6364.61656585529</v>
      </c>
      <c r="I33" s="227">
        <f t="shared" si="1"/>
        <v>22000</v>
      </c>
      <c r="J33" s="231">
        <f t="shared" si="6"/>
        <v>17502.695556102048</v>
      </c>
      <c r="K33" s="232">
        <f t="shared" si="7"/>
        <v>204914.55396361413</v>
      </c>
      <c r="L33" s="233">
        <f t="shared" si="8"/>
        <v>54914.553963614133</v>
      </c>
    </row>
    <row r="34" spans="1:12" x14ac:dyDescent="0.3">
      <c r="A34" s="225">
        <v>21</v>
      </c>
      <c r="B34" s="226">
        <f t="shared" si="0"/>
        <v>0.78653195326931402</v>
      </c>
      <c r="C34" s="227">
        <f t="shared" si="2"/>
        <v>20000</v>
      </c>
      <c r="D34" s="228"/>
      <c r="E34" s="229">
        <f t="shared" si="3"/>
        <v>15730.63906538628</v>
      </c>
      <c r="F34" s="227">
        <f t="shared" si="4"/>
        <v>8000</v>
      </c>
      <c r="G34" s="228"/>
      <c r="H34" s="229">
        <f t="shared" si="5"/>
        <v>6292.2556261545124</v>
      </c>
      <c r="I34" s="227">
        <f t="shared" si="1"/>
        <v>12000</v>
      </c>
      <c r="J34" s="231">
        <f t="shared" si="6"/>
        <v>9438.3834392317676</v>
      </c>
      <c r="K34" s="232">
        <f t="shared" si="7"/>
        <v>214352.93740284591</v>
      </c>
      <c r="L34" s="233">
        <f t="shared" si="8"/>
        <v>64352.937402845913</v>
      </c>
    </row>
    <row r="35" spans="1:12" x14ac:dyDescent="0.3">
      <c r="A35" s="225">
        <v>22</v>
      </c>
      <c r="B35" s="226">
        <f t="shared" si="0"/>
        <v>0.77758967204084428</v>
      </c>
      <c r="C35" s="227">
        <f t="shared" si="2"/>
        <v>20000</v>
      </c>
      <c r="D35" s="228"/>
      <c r="E35" s="229">
        <f t="shared" si="3"/>
        <v>15551.793440816886</v>
      </c>
      <c r="F35" s="227">
        <f t="shared" si="4"/>
        <v>8000</v>
      </c>
      <c r="G35" s="228"/>
      <c r="H35" s="229">
        <f t="shared" si="5"/>
        <v>6220.7173763267547</v>
      </c>
      <c r="I35" s="227">
        <f t="shared" si="1"/>
        <v>12000</v>
      </c>
      <c r="J35" s="231">
        <f t="shared" si="6"/>
        <v>9331.0760644901311</v>
      </c>
      <c r="K35" s="232">
        <f t="shared" si="7"/>
        <v>223684.01346733604</v>
      </c>
      <c r="L35" s="233">
        <f t="shared" si="8"/>
        <v>73684.013467336044</v>
      </c>
    </row>
    <row r="36" spans="1:12" x14ac:dyDescent="0.3">
      <c r="A36" s="225">
        <v>23</v>
      </c>
      <c r="B36" s="226">
        <f t="shared" si="0"/>
        <v>0.76874905787527847</v>
      </c>
      <c r="C36" s="227">
        <f t="shared" si="2"/>
        <v>20000</v>
      </c>
      <c r="D36" s="228"/>
      <c r="E36" s="229">
        <f t="shared" si="3"/>
        <v>15374.98115750557</v>
      </c>
      <c r="F36" s="227">
        <f t="shared" si="4"/>
        <v>8000</v>
      </c>
      <c r="G36" s="228"/>
      <c r="H36" s="229">
        <f t="shared" si="5"/>
        <v>6149.9924630022279</v>
      </c>
      <c r="I36" s="227">
        <f t="shared" si="1"/>
        <v>12000</v>
      </c>
      <c r="J36" s="231">
        <f t="shared" si="6"/>
        <v>9224.9886945033413</v>
      </c>
      <c r="K36" s="232">
        <f t="shared" si="7"/>
        <v>232909.00216183939</v>
      </c>
      <c r="L36" s="233">
        <f t="shared" si="8"/>
        <v>82909.002161839395</v>
      </c>
    </row>
    <row r="37" spans="1:12" x14ac:dyDescent="0.3">
      <c r="A37" s="225">
        <v>24</v>
      </c>
      <c r="B37" s="226">
        <f t="shared" si="0"/>
        <v>0.76000895489399733</v>
      </c>
      <c r="C37" s="227">
        <f t="shared" si="2"/>
        <v>20000</v>
      </c>
      <c r="D37" s="228"/>
      <c r="E37" s="229">
        <f t="shared" si="3"/>
        <v>15200.179097879947</v>
      </c>
      <c r="F37" s="227">
        <f t="shared" si="4"/>
        <v>8000</v>
      </c>
      <c r="G37" s="228"/>
      <c r="H37" s="229">
        <f t="shared" si="5"/>
        <v>6080.0716391519791</v>
      </c>
      <c r="I37" s="227">
        <f t="shared" si="1"/>
        <v>12000</v>
      </c>
      <c r="J37" s="231">
        <f t="shared" si="6"/>
        <v>9120.1074587279672</v>
      </c>
      <c r="K37" s="232">
        <f t="shared" si="7"/>
        <v>242029.10962056735</v>
      </c>
      <c r="L37" s="233">
        <f t="shared" si="8"/>
        <v>92029.109620567353</v>
      </c>
    </row>
    <row r="38" spans="1:12" x14ac:dyDescent="0.3">
      <c r="A38" s="225">
        <v>25</v>
      </c>
      <c r="B38" s="226">
        <f t="shared" si="0"/>
        <v>0.75136822035985895</v>
      </c>
      <c r="C38" s="227">
        <f t="shared" si="2"/>
        <v>20000</v>
      </c>
      <c r="D38" s="228"/>
      <c r="E38" s="229">
        <f t="shared" si="3"/>
        <v>15027.364407197179</v>
      </c>
      <c r="F38" s="227">
        <f t="shared" si="4"/>
        <v>8000</v>
      </c>
      <c r="G38" s="228"/>
      <c r="H38" s="229">
        <f t="shared" si="5"/>
        <v>6010.9457628788714</v>
      </c>
      <c r="I38" s="227">
        <f t="shared" si="1"/>
        <v>12000</v>
      </c>
      <c r="J38" s="231">
        <f t="shared" si="6"/>
        <v>9016.418644318308</v>
      </c>
      <c r="K38" s="232">
        <f t="shared" si="7"/>
        <v>251045.52826488565</v>
      </c>
      <c r="L38" s="233">
        <f t="shared" si="8"/>
        <v>101045.52826488565</v>
      </c>
    </row>
    <row r="39" spans="1:12" x14ac:dyDescent="0.3">
      <c r="A39" s="225">
        <v>26</v>
      </c>
      <c r="B39" s="226">
        <f t="shared" si="0"/>
        <v>0.74282572452778928</v>
      </c>
      <c r="C39" s="227">
        <f t="shared" si="2"/>
        <v>20000</v>
      </c>
      <c r="D39" s="228"/>
      <c r="E39" s="229">
        <f t="shared" si="3"/>
        <v>14856.514490555786</v>
      </c>
      <c r="F39" s="227">
        <f t="shared" si="4"/>
        <v>8000</v>
      </c>
      <c r="G39" s="228"/>
      <c r="H39" s="229">
        <f t="shared" si="5"/>
        <v>5942.605796222314</v>
      </c>
      <c r="I39" s="227">
        <f t="shared" si="1"/>
        <v>12000</v>
      </c>
      <c r="J39" s="231">
        <f t="shared" si="6"/>
        <v>8913.9086943334714</v>
      </c>
      <c r="K39" s="232">
        <f t="shared" si="7"/>
        <v>259959.43695921914</v>
      </c>
      <c r="L39" s="233">
        <f t="shared" si="8"/>
        <v>109959.43695921914</v>
      </c>
    </row>
    <row r="40" spans="1:12" x14ac:dyDescent="0.3">
      <c r="A40" s="225">
        <v>27</v>
      </c>
      <c r="B40" s="226">
        <f t="shared" si="0"/>
        <v>0.73438035049707295</v>
      </c>
      <c r="C40" s="227">
        <f t="shared" si="2"/>
        <v>20000</v>
      </c>
      <c r="D40" s="228"/>
      <c r="E40" s="229">
        <f t="shared" si="3"/>
        <v>14687.607009941459</v>
      </c>
      <c r="F40" s="227">
        <f t="shared" si="4"/>
        <v>8000</v>
      </c>
      <c r="G40" s="228"/>
      <c r="H40" s="229">
        <f t="shared" si="5"/>
        <v>5875.0428039765839</v>
      </c>
      <c r="I40" s="227">
        <f t="shared" si="1"/>
        <v>12000</v>
      </c>
      <c r="J40" s="231">
        <f t="shared" si="6"/>
        <v>8812.5642059648762</v>
      </c>
      <c r="K40" s="232">
        <f t="shared" si="7"/>
        <v>268772.00116518402</v>
      </c>
      <c r="L40" s="233">
        <f t="shared" si="8"/>
        <v>118772.00116518402</v>
      </c>
    </row>
    <row r="41" spans="1:12" x14ac:dyDescent="0.3">
      <c r="A41" s="225">
        <v>28</v>
      </c>
      <c r="B41" s="226">
        <f t="shared" si="0"/>
        <v>0.72603099406532168</v>
      </c>
      <c r="C41" s="227">
        <f t="shared" si="2"/>
        <v>20000</v>
      </c>
      <c r="D41" s="228"/>
      <c r="E41" s="229">
        <f t="shared" si="3"/>
        <v>14520.619881306433</v>
      </c>
      <c r="F41" s="227">
        <f t="shared" si="4"/>
        <v>8000</v>
      </c>
      <c r="G41" s="228"/>
      <c r="H41" s="229">
        <f t="shared" si="5"/>
        <v>5808.2479525225735</v>
      </c>
      <c r="I41" s="227">
        <f t="shared" si="1"/>
        <v>12000</v>
      </c>
      <c r="J41" s="231">
        <f t="shared" si="6"/>
        <v>8712.3719287838594</v>
      </c>
      <c r="K41" s="232">
        <f t="shared" si="7"/>
        <v>277484.37309396785</v>
      </c>
      <c r="L41" s="233">
        <f t="shared" si="8"/>
        <v>127484.37309396785</v>
      </c>
    </row>
    <row r="42" spans="1:12" x14ac:dyDescent="0.3">
      <c r="A42" s="225">
        <v>29</v>
      </c>
      <c r="B42" s="226">
        <f t="shared" si="0"/>
        <v>0.71777656358410435</v>
      </c>
      <c r="C42" s="227">
        <f t="shared" si="2"/>
        <v>20000</v>
      </c>
      <c r="D42" s="228"/>
      <c r="E42" s="229">
        <f t="shared" si="3"/>
        <v>14355.531271682086</v>
      </c>
      <c r="F42" s="227">
        <f t="shared" si="4"/>
        <v>8000</v>
      </c>
      <c r="G42" s="228"/>
      <c r="H42" s="229">
        <f t="shared" si="5"/>
        <v>5742.2125086728347</v>
      </c>
      <c r="I42" s="227">
        <f t="shared" si="1"/>
        <v>12000</v>
      </c>
      <c r="J42" s="231">
        <f t="shared" si="6"/>
        <v>8613.3187630092525</v>
      </c>
      <c r="K42" s="232">
        <f t="shared" si="7"/>
        <v>286097.69185697712</v>
      </c>
      <c r="L42" s="233">
        <f t="shared" si="8"/>
        <v>136097.69185697712</v>
      </c>
    </row>
    <row r="43" spans="1:12" x14ac:dyDescent="0.3">
      <c r="A43" s="225">
        <v>30</v>
      </c>
      <c r="B43" s="226">
        <f t="shared" si="0"/>
        <v>0.70961597981621793</v>
      </c>
      <c r="C43" s="227">
        <f t="shared" si="2"/>
        <v>20000</v>
      </c>
      <c r="D43" s="228">
        <v>10000</v>
      </c>
      <c r="E43" s="229">
        <f t="shared" si="3"/>
        <v>21288.479394486538</v>
      </c>
      <c r="F43" s="227">
        <f t="shared" si="4"/>
        <v>8000</v>
      </c>
      <c r="G43" s="228">
        <v>30000</v>
      </c>
      <c r="H43" s="229">
        <f t="shared" si="5"/>
        <v>26965.407233016282</v>
      </c>
      <c r="I43" s="227">
        <f t="shared" si="1"/>
        <v>-8000</v>
      </c>
      <c r="J43" s="231">
        <f t="shared" si="6"/>
        <v>-5676.9278385297439</v>
      </c>
      <c r="K43" s="232">
        <f t="shared" si="7"/>
        <v>280420.76401844737</v>
      </c>
      <c r="L43" s="233">
        <f t="shared" si="8"/>
        <v>130420.76401844737</v>
      </c>
    </row>
    <row r="44" spans="1:12" x14ac:dyDescent="0.3">
      <c r="A44" s="225">
        <v>31</v>
      </c>
      <c r="B44" s="226">
        <f t="shared" si="0"/>
        <v>0.70154817579458006</v>
      </c>
      <c r="C44" s="227">
        <f t="shared" si="2"/>
        <v>20000</v>
      </c>
      <c r="D44" s="228"/>
      <c r="E44" s="229">
        <f t="shared" si="3"/>
        <v>14030.963515891601</v>
      </c>
      <c r="F44" s="227">
        <f t="shared" si="4"/>
        <v>8000</v>
      </c>
      <c r="G44" s="228"/>
      <c r="H44" s="229">
        <f t="shared" si="5"/>
        <v>5612.3854063566405</v>
      </c>
      <c r="I44" s="227">
        <f t="shared" si="1"/>
        <v>12000</v>
      </c>
      <c r="J44" s="231">
        <f t="shared" si="6"/>
        <v>8418.5781095349612</v>
      </c>
      <c r="K44" s="232">
        <f t="shared" si="7"/>
        <v>288839.34212798235</v>
      </c>
      <c r="L44" s="233">
        <f t="shared" si="8"/>
        <v>138839.34212798235</v>
      </c>
    </row>
    <row r="45" spans="1:12" x14ac:dyDescent="0.3">
      <c r="A45" s="225">
        <v>32</v>
      </c>
      <c r="B45" s="226">
        <f t="shared" si="0"/>
        <v>0.69357209668272857</v>
      </c>
      <c r="C45" s="227">
        <f t="shared" si="2"/>
        <v>20000</v>
      </c>
      <c r="D45" s="228"/>
      <c r="E45" s="229">
        <f t="shared" si="3"/>
        <v>13871.441933654571</v>
      </c>
      <c r="F45" s="227">
        <f t="shared" si="4"/>
        <v>8000</v>
      </c>
      <c r="G45" s="228"/>
      <c r="H45" s="229">
        <f t="shared" si="5"/>
        <v>5548.5767734618285</v>
      </c>
      <c r="I45" s="227">
        <f t="shared" si="1"/>
        <v>12000</v>
      </c>
      <c r="J45" s="231">
        <f t="shared" si="6"/>
        <v>8322.8651601927431</v>
      </c>
      <c r="K45" s="232">
        <f t="shared" si="7"/>
        <v>297162.20728817512</v>
      </c>
      <c r="L45" s="233">
        <f t="shared" si="8"/>
        <v>147162.20728817512</v>
      </c>
    </row>
    <row r="46" spans="1:12" x14ac:dyDescent="0.3">
      <c r="A46" s="225">
        <v>33</v>
      </c>
      <c r="B46" s="226">
        <f t="shared" si="0"/>
        <v>0.6856866996369041</v>
      </c>
      <c r="C46" s="227">
        <f t="shared" si="2"/>
        <v>20000</v>
      </c>
      <c r="D46" s="228"/>
      <c r="E46" s="229">
        <f t="shared" si="3"/>
        <v>13713.733992738082</v>
      </c>
      <c r="F46" s="227">
        <f t="shared" si="4"/>
        <v>8000</v>
      </c>
      <c r="G46" s="228"/>
      <c r="H46" s="229">
        <f t="shared" si="5"/>
        <v>5485.4935970952329</v>
      </c>
      <c r="I46" s="227">
        <f t="shared" si="1"/>
        <v>12000</v>
      </c>
      <c r="J46" s="231">
        <f t="shared" si="6"/>
        <v>8228.2403956428498</v>
      </c>
      <c r="K46" s="232">
        <f t="shared" si="7"/>
        <v>305390.447683818</v>
      </c>
      <c r="L46" s="233">
        <f t="shared" si="8"/>
        <v>155390.447683818</v>
      </c>
    </row>
    <row r="47" spans="1:12" x14ac:dyDescent="0.3">
      <c r="A47" s="225">
        <v>34</v>
      </c>
      <c r="B47" s="226">
        <f t="shared" si="0"/>
        <v>0.67789095366970242</v>
      </c>
      <c r="C47" s="227">
        <f t="shared" si="2"/>
        <v>20000</v>
      </c>
      <c r="D47" s="228"/>
      <c r="E47" s="229">
        <f t="shared" si="3"/>
        <v>13557.819073394048</v>
      </c>
      <c r="F47" s="227">
        <f t="shared" si="4"/>
        <v>8000</v>
      </c>
      <c r="G47" s="228"/>
      <c r="H47" s="229">
        <f t="shared" si="5"/>
        <v>5423.1276293576193</v>
      </c>
      <c r="I47" s="227">
        <f t="shared" si="1"/>
        <v>12000</v>
      </c>
      <c r="J47" s="231">
        <f t="shared" si="6"/>
        <v>8134.6914440364289</v>
      </c>
      <c r="K47" s="232">
        <f t="shared" si="7"/>
        <v>313525.13912785443</v>
      </c>
      <c r="L47" s="233">
        <f t="shared" si="8"/>
        <v>163525.13912785443</v>
      </c>
    </row>
    <row r="48" spans="1:12" x14ac:dyDescent="0.3">
      <c r="A48" s="225">
        <v>35</v>
      </c>
      <c r="B48" s="226">
        <f t="shared" si="0"/>
        <v>0.67018383951527671</v>
      </c>
      <c r="C48" s="227">
        <f t="shared" si="2"/>
        <v>20000</v>
      </c>
      <c r="D48" s="228"/>
      <c r="E48" s="229">
        <f t="shared" si="3"/>
        <v>13403.676790305535</v>
      </c>
      <c r="F48" s="227">
        <f t="shared" si="4"/>
        <v>8000</v>
      </c>
      <c r="G48" s="228"/>
      <c r="H48" s="229">
        <f t="shared" si="5"/>
        <v>5361.4707161222141</v>
      </c>
      <c r="I48" s="227">
        <f t="shared" si="1"/>
        <v>12000</v>
      </c>
      <c r="J48" s="231">
        <f t="shared" si="6"/>
        <v>8042.2060741833202</v>
      </c>
      <c r="K48" s="232">
        <f t="shared" si="7"/>
        <v>321567.34520203777</v>
      </c>
      <c r="L48" s="233">
        <f t="shared" si="8"/>
        <v>171567.34520203777</v>
      </c>
    </row>
    <row r="49" spans="1:12" x14ac:dyDescent="0.3">
      <c r="A49" s="225">
        <v>36</v>
      </c>
      <c r="B49" s="226">
        <f t="shared" si="0"/>
        <v>0.6625643494960719</v>
      </c>
      <c r="C49" s="227">
        <f t="shared" si="2"/>
        <v>20000</v>
      </c>
      <c r="D49" s="228"/>
      <c r="E49" s="229">
        <f t="shared" si="3"/>
        <v>13251.286989921438</v>
      </c>
      <c r="F49" s="227">
        <f t="shared" si="4"/>
        <v>8000</v>
      </c>
      <c r="G49" s="228"/>
      <c r="H49" s="229">
        <f t="shared" si="5"/>
        <v>5300.5147959685755</v>
      </c>
      <c r="I49" s="227">
        <f t="shared" si="1"/>
        <v>12000</v>
      </c>
      <c r="J49" s="231">
        <f t="shared" si="6"/>
        <v>7950.7721939528628</v>
      </c>
      <c r="K49" s="232">
        <f t="shared" si="7"/>
        <v>329518.11739599064</v>
      </c>
      <c r="L49" s="233">
        <f t="shared" si="8"/>
        <v>179518.11739599064</v>
      </c>
    </row>
    <row r="50" spans="1:12" x14ac:dyDescent="0.3">
      <c r="A50" s="225">
        <v>37</v>
      </c>
      <c r="B50" s="226">
        <f t="shared" si="0"/>
        <v>0.65503148739107453</v>
      </c>
      <c r="C50" s="227">
        <f t="shared" si="2"/>
        <v>20000</v>
      </c>
      <c r="D50" s="228"/>
      <c r="E50" s="229">
        <f t="shared" si="3"/>
        <v>13100.629747821491</v>
      </c>
      <c r="F50" s="227">
        <f t="shared" si="4"/>
        <v>8000</v>
      </c>
      <c r="G50" s="228"/>
      <c r="H50" s="229">
        <f t="shared" si="5"/>
        <v>5240.2518991285961</v>
      </c>
      <c r="I50" s="227">
        <f t="shared" si="1"/>
        <v>12000</v>
      </c>
      <c r="J50" s="231">
        <f t="shared" si="6"/>
        <v>7860.3778486928941</v>
      </c>
      <c r="K50" s="232">
        <f t="shared" si="7"/>
        <v>337378.49524468352</v>
      </c>
      <c r="L50" s="233">
        <f t="shared" si="8"/>
        <v>187378.49524468352</v>
      </c>
    </row>
    <row r="51" spans="1:12" x14ac:dyDescent="0.3">
      <c r="A51" s="225">
        <v>38</v>
      </c>
      <c r="B51" s="226">
        <f t="shared" si="0"/>
        <v>0.64758426830556048</v>
      </c>
      <c r="C51" s="227">
        <f t="shared" si="2"/>
        <v>20000</v>
      </c>
      <c r="D51" s="228"/>
      <c r="E51" s="229">
        <f t="shared" si="3"/>
        <v>12951.685366111209</v>
      </c>
      <c r="F51" s="227">
        <f t="shared" si="4"/>
        <v>8000</v>
      </c>
      <c r="G51" s="228"/>
      <c r="H51" s="229">
        <f t="shared" si="5"/>
        <v>5180.674146444484</v>
      </c>
      <c r="I51" s="227">
        <f t="shared" si="1"/>
        <v>12000</v>
      </c>
      <c r="J51" s="231">
        <f t="shared" si="6"/>
        <v>7771.011219666726</v>
      </c>
      <c r="K51" s="232">
        <f t="shared" si="7"/>
        <v>345149.50646435027</v>
      </c>
      <c r="L51" s="233">
        <f t="shared" si="8"/>
        <v>195149.50646435027</v>
      </c>
    </row>
    <row r="52" spans="1:12" x14ac:dyDescent="0.3">
      <c r="A52" s="225">
        <v>39</v>
      </c>
      <c r="B52" s="226">
        <f t="shared" si="0"/>
        <v>0.64022171854232368</v>
      </c>
      <c r="C52" s="227">
        <f t="shared" si="2"/>
        <v>20000</v>
      </c>
      <c r="D52" s="228"/>
      <c r="E52" s="229">
        <f t="shared" si="3"/>
        <v>12804.434370846473</v>
      </c>
      <c r="F52" s="227">
        <f t="shared" si="4"/>
        <v>8000</v>
      </c>
      <c r="G52" s="228"/>
      <c r="H52" s="229">
        <f t="shared" si="5"/>
        <v>5121.773748338589</v>
      </c>
      <c r="I52" s="227">
        <f t="shared" si="1"/>
        <v>12000</v>
      </c>
      <c r="J52" s="231">
        <f t="shared" si="6"/>
        <v>7682.660622507884</v>
      </c>
      <c r="K52" s="232">
        <f t="shared" si="7"/>
        <v>352832.16708685813</v>
      </c>
      <c r="L52" s="233">
        <f t="shared" si="8"/>
        <v>202832.16708685813</v>
      </c>
    </row>
    <row r="53" spans="1:12" x14ac:dyDescent="0.3">
      <c r="A53" s="225">
        <v>40</v>
      </c>
      <c r="B53" s="226">
        <f t="shared" si="0"/>
        <v>0.63294287547436834</v>
      </c>
      <c r="C53" s="227">
        <f t="shared" si="2"/>
        <v>20000</v>
      </c>
      <c r="D53" s="228">
        <v>10000</v>
      </c>
      <c r="E53" s="229">
        <f t="shared" si="3"/>
        <v>18988.28626423105</v>
      </c>
      <c r="F53" s="227">
        <f t="shared" si="4"/>
        <v>8000</v>
      </c>
      <c r="G53" s="228"/>
      <c r="H53" s="229">
        <f t="shared" si="5"/>
        <v>5063.5430037949463</v>
      </c>
      <c r="I53" s="227">
        <f t="shared" si="1"/>
        <v>22000</v>
      </c>
      <c r="J53" s="231">
        <f t="shared" si="6"/>
        <v>13924.743260436104</v>
      </c>
      <c r="K53" s="232">
        <f t="shared" si="7"/>
        <v>366756.91034729424</v>
      </c>
      <c r="L53" s="233">
        <f t="shared" si="8"/>
        <v>216756.91034729424</v>
      </c>
    </row>
    <row r="54" spans="1:12" x14ac:dyDescent="0.3">
      <c r="A54" s="225">
        <v>41</v>
      </c>
      <c r="B54" s="226">
        <f t="shared" si="0"/>
        <v>0.62574678741904921</v>
      </c>
      <c r="C54" s="227">
        <f t="shared" si="2"/>
        <v>20000</v>
      </c>
      <c r="D54" s="228"/>
      <c r="E54" s="229">
        <f t="shared" si="3"/>
        <v>12514.935748380984</v>
      </c>
      <c r="F54" s="227">
        <f t="shared" si="4"/>
        <v>8000</v>
      </c>
      <c r="G54" s="228"/>
      <c r="H54" s="229">
        <f t="shared" si="5"/>
        <v>5005.9742993523932</v>
      </c>
      <c r="I54" s="227">
        <f t="shared" si="1"/>
        <v>12000</v>
      </c>
      <c r="J54" s="231">
        <f t="shared" si="6"/>
        <v>7508.9614490285903</v>
      </c>
      <c r="K54" s="232">
        <f t="shared" si="7"/>
        <v>374265.87179632281</v>
      </c>
      <c r="L54" s="233">
        <f t="shared" si="8"/>
        <v>224265.87179632281</v>
      </c>
    </row>
    <row r="55" spans="1:12" x14ac:dyDescent="0.3">
      <c r="A55" s="225">
        <v>42</v>
      </c>
      <c r="B55" s="226">
        <f t="shared" si="0"/>
        <v>0.61863251351364235</v>
      </c>
      <c r="C55" s="227">
        <f t="shared" si="2"/>
        <v>20000</v>
      </c>
      <c r="D55" s="228"/>
      <c r="E55" s="229">
        <f t="shared" si="3"/>
        <v>12372.650270272847</v>
      </c>
      <c r="F55" s="227">
        <f t="shared" si="4"/>
        <v>8000</v>
      </c>
      <c r="G55" s="228"/>
      <c r="H55" s="229">
        <f t="shared" si="5"/>
        <v>4949.060108109139</v>
      </c>
      <c r="I55" s="227">
        <f t="shared" si="1"/>
        <v>12000</v>
      </c>
      <c r="J55" s="231">
        <f t="shared" si="6"/>
        <v>7423.5901621637086</v>
      </c>
      <c r="K55" s="232">
        <f t="shared" si="7"/>
        <v>381689.46195848653</v>
      </c>
      <c r="L55" s="233">
        <f t="shared" si="8"/>
        <v>231689.46195848653</v>
      </c>
    </row>
    <row r="56" spans="1:12" x14ac:dyDescent="0.3">
      <c r="A56" s="225">
        <v>43</v>
      </c>
      <c r="B56" s="226">
        <f t="shared" si="0"/>
        <v>0.61159912359233048</v>
      </c>
      <c r="C56" s="227">
        <f t="shared" si="2"/>
        <v>20000</v>
      </c>
      <c r="D56" s="228"/>
      <c r="E56" s="229">
        <f t="shared" si="3"/>
        <v>12231.98247184661</v>
      </c>
      <c r="F56" s="227">
        <f t="shared" si="4"/>
        <v>8000</v>
      </c>
      <c r="G56" s="228"/>
      <c r="H56" s="229">
        <f t="shared" si="5"/>
        <v>4892.7929887386435</v>
      </c>
      <c r="I56" s="227">
        <f t="shared" si="1"/>
        <v>12000</v>
      </c>
      <c r="J56" s="231">
        <f t="shared" si="6"/>
        <v>7339.1894831079662</v>
      </c>
      <c r="K56" s="232">
        <f t="shared" si="7"/>
        <v>389028.65144159447</v>
      </c>
      <c r="L56" s="233">
        <f t="shared" si="8"/>
        <v>239028.65144159447</v>
      </c>
    </row>
    <row r="57" spans="1:12" x14ac:dyDescent="0.3">
      <c r="A57" s="225">
        <v>44</v>
      </c>
      <c r="B57" s="226">
        <f t="shared" si="0"/>
        <v>0.60464569806458768</v>
      </c>
      <c r="C57" s="227">
        <f t="shared" si="2"/>
        <v>20000</v>
      </c>
      <c r="D57" s="228"/>
      <c r="E57" s="229">
        <f t="shared" si="3"/>
        <v>12092.913961291753</v>
      </c>
      <c r="F57" s="227">
        <f t="shared" si="4"/>
        <v>8000</v>
      </c>
      <c r="G57" s="228"/>
      <c r="H57" s="229">
        <f t="shared" si="5"/>
        <v>4837.1655845167015</v>
      </c>
      <c r="I57" s="227">
        <f t="shared" si="1"/>
        <v>12000</v>
      </c>
      <c r="J57" s="231">
        <f t="shared" si="6"/>
        <v>7255.7483767750518</v>
      </c>
      <c r="K57" s="232">
        <f t="shared" si="7"/>
        <v>396284.39981836954</v>
      </c>
      <c r="L57" s="233">
        <f t="shared" si="8"/>
        <v>246284.39981836954</v>
      </c>
    </row>
    <row r="58" spans="1:12" x14ac:dyDescent="0.3">
      <c r="A58" s="225">
        <v>45</v>
      </c>
      <c r="B58" s="226">
        <f t="shared" si="0"/>
        <v>0.59777132779494568</v>
      </c>
      <c r="C58" s="227">
        <f t="shared" si="2"/>
        <v>20000</v>
      </c>
      <c r="D58" s="228"/>
      <c r="E58" s="229">
        <f t="shared" si="3"/>
        <v>11955.426555898914</v>
      </c>
      <c r="F58" s="227">
        <f t="shared" si="4"/>
        <v>8000</v>
      </c>
      <c r="G58" s="228"/>
      <c r="H58" s="229">
        <f t="shared" si="5"/>
        <v>4782.1706223595656</v>
      </c>
      <c r="I58" s="227">
        <f t="shared" si="1"/>
        <v>12000</v>
      </c>
      <c r="J58" s="231">
        <f t="shared" si="6"/>
        <v>7173.255933539348</v>
      </c>
      <c r="K58" s="232">
        <f t="shared" si="7"/>
        <v>403457.6557519089</v>
      </c>
      <c r="L58" s="233">
        <f t="shared" si="8"/>
        <v>253457.6557519089</v>
      </c>
    </row>
    <row r="59" spans="1:12" x14ac:dyDescent="0.3">
      <c r="A59" s="225">
        <v>46</v>
      </c>
      <c r="B59" s="226">
        <f t="shared" si="0"/>
        <v>0.59097511398412828</v>
      </c>
      <c r="C59" s="227">
        <f t="shared" si="2"/>
        <v>20000</v>
      </c>
      <c r="D59" s="228"/>
      <c r="E59" s="229">
        <f t="shared" si="3"/>
        <v>11819.502279682565</v>
      </c>
      <c r="F59" s="227">
        <f t="shared" si="4"/>
        <v>8000</v>
      </c>
      <c r="G59" s="228"/>
      <c r="H59" s="229">
        <f t="shared" si="5"/>
        <v>4727.8009118730261</v>
      </c>
      <c r="I59" s="227">
        <f t="shared" si="1"/>
        <v>12000</v>
      </c>
      <c r="J59" s="231">
        <f t="shared" si="6"/>
        <v>7091.7013678095391</v>
      </c>
      <c r="K59" s="232">
        <f t="shared" si="7"/>
        <v>410549.35711971845</v>
      </c>
      <c r="L59" s="233">
        <f t="shared" si="8"/>
        <v>260549.35711971845</v>
      </c>
    </row>
    <row r="60" spans="1:12" x14ac:dyDescent="0.3">
      <c r="A60" s="225">
        <v>47</v>
      </c>
      <c r="B60" s="226">
        <f t="shared" si="0"/>
        <v>0.58425616805153546</v>
      </c>
      <c r="C60" s="227">
        <f t="shared" si="2"/>
        <v>20000</v>
      </c>
      <c r="D60" s="228"/>
      <c r="E60" s="229">
        <f t="shared" si="3"/>
        <v>11685.12336103071</v>
      </c>
      <c r="F60" s="227">
        <f t="shared" si="4"/>
        <v>8000</v>
      </c>
      <c r="G60" s="228"/>
      <c r="H60" s="229">
        <f t="shared" si="5"/>
        <v>4674.049344412284</v>
      </c>
      <c r="I60" s="227">
        <f t="shared" si="1"/>
        <v>12000</v>
      </c>
      <c r="J60" s="231">
        <f t="shared" si="6"/>
        <v>7011.074016618426</v>
      </c>
      <c r="K60" s="232">
        <f t="shared" si="7"/>
        <v>417560.43113633688</v>
      </c>
      <c r="L60" s="233">
        <f t="shared" si="8"/>
        <v>267560.43113633688</v>
      </c>
    </row>
    <row r="61" spans="1:12" x14ac:dyDescent="0.3">
      <c r="A61" s="225">
        <v>48</v>
      </c>
      <c r="B61" s="226">
        <f t="shared" si="0"/>
        <v>0.57761361151906609</v>
      </c>
      <c r="C61" s="227">
        <f t="shared" si="2"/>
        <v>20000</v>
      </c>
      <c r="D61" s="228"/>
      <c r="E61" s="229">
        <f t="shared" si="3"/>
        <v>11552.272230381323</v>
      </c>
      <c r="F61" s="227">
        <f t="shared" si="4"/>
        <v>8000</v>
      </c>
      <c r="G61" s="228"/>
      <c r="H61" s="229">
        <f t="shared" si="5"/>
        <v>4620.908892152529</v>
      </c>
      <c r="I61" s="227">
        <f t="shared" si="1"/>
        <v>12000</v>
      </c>
      <c r="J61" s="231">
        <f t="shared" si="6"/>
        <v>6931.3633382287935</v>
      </c>
      <c r="K61" s="232">
        <f t="shared" si="7"/>
        <v>424491.79447456566</v>
      </c>
      <c r="L61" s="233">
        <f t="shared" si="8"/>
        <v>274491.79447456566</v>
      </c>
    </row>
    <row r="62" spans="1:12" x14ac:dyDescent="0.3">
      <c r="A62" s="225">
        <v>49</v>
      </c>
      <c r="B62" s="226">
        <f t="shared" si="0"/>
        <v>0.57104657589625918</v>
      </c>
      <c r="C62" s="227">
        <f t="shared" si="2"/>
        <v>20000</v>
      </c>
      <c r="D62" s="228"/>
      <c r="E62" s="229">
        <f t="shared" si="3"/>
        <v>11420.931517925184</v>
      </c>
      <c r="F62" s="227">
        <f t="shared" si="4"/>
        <v>8000</v>
      </c>
      <c r="G62" s="228"/>
      <c r="H62" s="229">
        <f t="shared" si="5"/>
        <v>4568.372607170073</v>
      </c>
      <c r="I62" s="227">
        <f t="shared" si="1"/>
        <v>12000</v>
      </c>
      <c r="J62" s="231">
        <f t="shared" si="6"/>
        <v>6852.5589107551104</v>
      </c>
      <c r="K62" s="232">
        <f t="shared" si="7"/>
        <v>431344.35338532075</v>
      </c>
      <c r="L62" s="233">
        <f t="shared" si="8"/>
        <v>281344.35338532075</v>
      </c>
    </row>
    <row r="63" spans="1:12" x14ac:dyDescent="0.3">
      <c r="A63" s="225">
        <v>50</v>
      </c>
      <c r="B63" s="226">
        <f t="shared" si="0"/>
        <v>0.56455420256674149</v>
      </c>
      <c r="C63" s="227">
        <f t="shared" si="2"/>
        <v>20000</v>
      </c>
      <c r="D63" s="228"/>
      <c r="E63" s="229">
        <f t="shared" si="3"/>
        <v>11291.08405133483</v>
      </c>
      <c r="F63" s="227">
        <f t="shared" si="4"/>
        <v>8000</v>
      </c>
      <c r="G63" s="228">
        <v>5000</v>
      </c>
      <c r="H63" s="229">
        <f t="shared" si="5"/>
        <v>7339.204633367639</v>
      </c>
      <c r="I63" s="227">
        <f t="shared" si="1"/>
        <v>7000</v>
      </c>
      <c r="J63" s="231">
        <f t="shared" si="6"/>
        <v>3951.8794179671904</v>
      </c>
      <c r="K63" s="232">
        <f t="shared" si="7"/>
        <v>435296.23280328792</v>
      </c>
      <c r="L63" s="233">
        <f t="shared" si="8"/>
        <v>285296.23280328792</v>
      </c>
    </row>
    <row r="64" spans="1:12" x14ac:dyDescent="0.3">
      <c r="A64" s="225">
        <v>51</v>
      </c>
      <c r="B64" s="226">
        <f t="shared" si="0"/>
        <v>0.55813564267596782</v>
      </c>
      <c r="C64" s="227">
        <f t="shared" si="2"/>
        <v>20000</v>
      </c>
      <c r="D64" s="228"/>
      <c r="E64" s="229">
        <f t="shared" si="3"/>
        <v>11162.712853519357</v>
      </c>
      <c r="F64" s="227">
        <f t="shared" si="4"/>
        <v>8000</v>
      </c>
      <c r="G64" s="228"/>
      <c r="H64" s="229">
        <f t="shared" si="5"/>
        <v>4465.0851414077424</v>
      </c>
      <c r="I64" s="227">
        <f t="shared" si="1"/>
        <v>12000</v>
      </c>
      <c r="J64" s="231">
        <f t="shared" si="6"/>
        <v>6697.6277121116136</v>
      </c>
      <c r="K64" s="232">
        <f t="shared" si="7"/>
        <v>441993.86051539954</v>
      </c>
      <c r="L64" s="233">
        <f t="shared" si="8"/>
        <v>291993.86051539954</v>
      </c>
    </row>
    <row r="65" spans="1:12" x14ac:dyDescent="0.3">
      <c r="A65" s="225">
        <v>52</v>
      </c>
      <c r="B65" s="226">
        <f t="shared" si="0"/>
        <v>0.55179005702023509</v>
      </c>
      <c r="C65" s="227">
        <f t="shared" si="2"/>
        <v>20000</v>
      </c>
      <c r="D65" s="228"/>
      <c r="E65" s="229">
        <f t="shared" si="3"/>
        <v>11035.801140404701</v>
      </c>
      <c r="F65" s="227">
        <f t="shared" si="4"/>
        <v>8000</v>
      </c>
      <c r="G65" s="228"/>
      <c r="H65" s="229">
        <f t="shared" si="5"/>
        <v>4414.3204561618804</v>
      </c>
      <c r="I65" s="227">
        <f t="shared" si="1"/>
        <v>12000</v>
      </c>
      <c r="J65" s="231">
        <f t="shared" si="6"/>
        <v>6621.4806842428216</v>
      </c>
      <c r="K65" s="232">
        <f t="shared" si="7"/>
        <v>448615.34119964234</v>
      </c>
      <c r="L65" s="233">
        <f t="shared" si="8"/>
        <v>298615.34119964234</v>
      </c>
    </row>
    <row r="66" spans="1:12" x14ac:dyDescent="0.3">
      <c r="A66" s="225">
        <v>53</v>
      </c>
      <c r="B66" s="226">
        <f t="shared" si="0"/>
        <v>0.54551661593695999</v>
      </c>
      <c r="C66" s="227">
        <f t="shared" si="2"/>
        <v>20000</v>
      </c>
      <c r="D66" s="228"/>
      <c r="E66" s="229">
        <f t="shared" si="3"/>
        <v>10910.3323187392</v>
      </c>
      <c r="F66" s="227">
        <f t="shared" si="4"/>
        <v>8000</v>
      </c>
      <c r="G66" s="228"/>
      <c r="H66" s="229">
        <f t="shared" si="5"/>
        <v>4364.1329274956797</v>
      </c>
      <c r="I66" s="227">
        <f t="shared" si="1"/>
        <v>12000</v>
      </c>
      <c r="J66" s="231">
        <f t="shared" si="6"/>
        <v>6546.19939124352</v>
      </c>
      <c r="K66" s="232">
        <f t="shared" si="7"/>
        <v>455161.54059088585</v>
      </c>
      <c r="L66" s="233">
        <f t="shared" si="8"/>
        <v>305161.54059088585</v>
      </c>
    </row>
    <row r="67" spans="1:12" x14ac:dyDescent="0.3">
      <c r="A67" s="225">
        <v>54</v>
      </c>
      <c r="B67" s="226">
        <f t="shared" si="0"/>
        <v>0.53931449919620367</v>
      </c>
      <c r="C67" s="227">
        <f t="shared" si="2"/>
        <v>20000</v>
      </c>
      <c r="D67" s="228"/>
      <c r="E67" s="229">
        <f t="shared" si="3"/>
        <v>10786.289983924073</v>
      </c>
      <c r="F67" s="227">
        <f t="shared" si="4"/>
        <v>8000</v>
      </c>
      <c r="G67" s="228"/>
      <c r="H67" s="229">
        <f t="shared" si="5"/>
        <v>4314.5159935696292</v>
      </c>
      <c r="I67" s="227">
        <f t="shared" si="1"/>
        <v>12000</v>
      </c>
      <c r="J67" s="231">
        <f t="shared" si="6"/>
        <v>6471.7739903544443</v>
      </c>
      <c r="K67" s="232">
        <f t="shared" si="7"/>
        <v>461633.31458124029</v>
      </c>
      <c r="L67" s="233">
        <f t="shared" si="8"/>
        <v>311633.31458124029</v>
      </c>
    </row>
    <row r="68" spans="1:12" x14ac:dyDescent="0.3">
      <c r="A68" s="225">
        <v>55</v>
      </c>
      <c r="B68" s="226">
        <f t="shared" si="0"/>
        <v>0.53318289589342915</v>
      </c>
      <c r="C68" s="227">
        <f t="shared" si="2"/>
        <v>20000</v>
      </c>
      <c r="D68" s="228"/>
      <c r="E68" s="229">
        <f t="shared" si="3"/>
        <v>10663.657917868582</v>
      </c>
      <c r="F68" s="227">
        <f t="shared" si="4"/>
        <v>8000</v>
      </c>
      <c r="G68" s="228"/>
      <c r="H68" s="229">
        <f t="shared" si="5"/>
        <v>4265.4631671474335</v>
      </c>
      <c r="I68" s="227">
        <f t="shared" si="1"/>
        <v>12000</v>
      </c>
      <c r="J68" s="231">
        <f t="shared" si="6"/>
        <v>6398.1947507211498</v>
      </c>
      <c r="K68" s="232">
        <f t="shared" si="7"/>
        <v>468031.50933196145</v>
      </c>
      <c r="L68" s="233">
        <f t="shared" si="8"/>
        <v>318031.50933196145</v>
      </c>
    </row>
    <row r="69" spans="1:12" x14ac:dyDescent="0.3">
      <c r="A69" s="225">
        <v>56</v>
      </c>
      <c r="B69" s="226">
        <f t="shared" si="0"/>
        <v>0.52712100434347908</v>
      </c>
      <c r="C69" s="227">
        <f t="shared" si="2"/>
        <v>20000</v>
      </c>
      <c r="D69" s="228"/>
      <c r="E69" s="229">
        <f t="shared" si="3"/>
        <v>10542.420086869583</v>
      </c>
      <c r="F69" s="227">
        <f t="shared" si="4"/>
        <v>8000</v>
      </c>
      <c r="G69" s="228"/>
      <c r="H69" s="229">
        <f t="shared" si="5"/>
        <v>4216.9680347478325</v>
      </c>
      <c r="I69" s="227">
        <f t="shared" si="1"/>
        <v>12000</v>
      </c>
      <c r="J69" s="231">
        <f t="shared" si="6"/>
        <v>6325.4520521217491</v>
      </c>
      <c r="K69" s="232">
        <f t="shared" si="7"/>
        <v>474356.9613840832</v>
      </c>
      <c r="L69" s="233">
        <f t="shared" si="8"/>
        <v>324356.9613840832</v>
      </c>
    </row>
    <row r="70" spans="1:12" x14ac:dyDescent="0.3">
      <c r="A70" s="225">
        <v>57</v>
      </c>
      <c r="B70" s="226">
        <f t="shared" si="0"/>
        <v>0.52112803197575774</v>
      </c>
      <c r="C70" s="227">
        <f t="shared" si="2"/>
        <v>20000</v>
      </c>
      <c r="D70" s="228"/>
      <c r="E70" s="229">
        <f t="shared" si="3"/>
        <v>10422.560639515155</v>
      </c>
      <c r="F70" s="227">
        <f t="shared" si="4"/>
        <v>8000</v>
      </c>
      <c r="G70" s="228"/>
      <c r="H70" s="229">
        <f t="shared" si="5"/>
        <v>4169.0242558060618</v>
      </c>
      <c r="I70" s="227">
        <f t="shared" si="1"/>
        <v>12000</v>
      </c>
      <c r="J70" s="231">
        <f t="shared" si="6"/>
        <v>6253.5363837090927</v>
      </c>
      <c r="K70" s="232">
        <f t="shared" si="7"/>
        <v>480610.49776779232</v>
      </c>
      <c r="L70" s="233">
        <f t="shared" si="8"/>
        <v>330610.49776779232</v>
      </c>
    </row>
    <row r="71" spans="1:12" x14ac:dyDescent="0.3">
      <c r="A71" s="225">
        <v>58</v>
      </c>
      <c r="B71" s="226">
        <f t="shared" si="0"/>
        <v>0.51520319523060576</v>
      </c>
      <c r="C71" s="227">
        <f t="shared" si="2"/>
        <v>20000</v>
      </c>
      <c r="D71" s="228"/>
      <c r="E71" s="229">
        <f t="shared" si="3"/>
        <v>10304.063904612116</v>
      </c>
      <c r="F71" s="227">
        <f t="shared" si="4"/>
        <v>8000</v>
      </c>
      <c r="G71" s="228"/>
      <c r="H71" s="229">
        <f t="shared" si="5"/>
        <v>4121.6255618448458</v>
      </c>
      <c r="I71" s="227">
        <f t="shared" si="1"/>
        <v>12000</v>
      </c>
      <c r="J71" s="231">
        <f t="shared" si="6"/>
        <v>6182.4383427672692</v>
      </c>
      <c r="K71" s="232">
        <f t="shared" si="7"/>
        <v>486792.93611055956</v>
      </c>
      <c r="L71" s="233">
        <f t="shared" si="8"/>
        <v>336792.93611055956</v>
      </c>
    </row>
    <row r="72" spans="1:12" x14ac:dyDescent="0.3">
      <c r="A72" s="225">
        <v>59</v>
      </c>
      <c r="B72" s="226">
        <f t="shared" si="0"/>
        <v>0.50934571945685192</v>
      </c>
      <c r="C72" s="227">
        <f t="shared" si="2"/>
        <v>20000</v>
      </c>
      <c r="D72" s="228"/>
      <c r="E72" s="229">
        <f t="shared" si="3"/>
        <v>10186.914389137039</v>
      </c>
      <c r="F72" s="227">
        <f t="shared" si="4"/>
        <v>8000</v>
      </c>
      <c r="G72" s="228"/>
      <c r="H72" s="229">
        <f t="shared" si="5"/>
        <v>4074.7657556548152</v>
      </c>
      <c r="I72" s="227">
        <f t="shared" si="1"/>
        <v>12000</v>
      </c>
      <c r="J72" s="231">
        <f t="shared" si="6"/>
        <v>6112.148633482223</v>
      </c>
      <c r="K72" s="232">
        <f t="shared" si="7"/>
        <v>492905.08474404179</v>
      </c>
      <c r="L72" s="233">
        <f t="shared" si="8"/>
        <v>342905.08474404179</v>
      </c>
    </row>
    <row r="73" spans="1:12" x14ac:dyDescent="0.3">
      <c r="A73" s="225">
        <v>60</v>
      </c>
      <c r="B73" s="226">
        <f t="shared" si="0"/>
        <v>0.50355483881053076</v>
      </c>
      <c r="C73" s="227">
        <f t="shared" si="2"/>
        <v>20000</v>
      </c>
      <c r="D73" s="228"/>
      <c r="E73" s="229">
        <f t="shared" si="3"/>
        <v>10071.096776210616</v>
      </c>
      <c r="F73" s="227">
        <f t="shared" si="4"/>
        <v>8000</v>
      </c>
      <c r="G73" s="228"/>
      <c r="H73" s="229">
        <f t="shared" si="5"/>
        <v>4028.4387104842463</v>
      </c>
      <c r="I73" s="227">
        <f t="shared" si="1"/>
        <v>12000</v>
      </c>
      <c r="J73" s="231">
        <f t="shared" si="6"/>
        <v>6042.6580657263694</v>
      </c>
      <c r="K73" s="232">
        <f t="shared" si="7"/>
        <v>498947.74280976818</v>
      </c>
      <c r="L73" s="233">
        <f t="shared" si="8"/>
        <v>348947.74280976818</v>
      </c>
    </row>
    <row r="74" spans="1:12" x14ac:dyDescent="0.3">
      <c r="A74" s="225">
        <v>61</v>
      </c>
      <c r="B74" s="226">
        <f t="shared" si="0"/>
        <v>0.49782979615475109</v>
      </c>
      <c r="C74" s="227">
        <f t="shared" si="2"/>
        <v>20000</v>
      </c>
      <c r="D74" s="228"/>
      <c r="E74" s="229">
        <f t="shared" si="3"/>
        <v>9956.5959230950211</v>
      </c>
      <c r="F74" s="227">
        <f t="shared" si="4"/>
        <v>8000</v>
      </c>
      <c r="G74" s="228"/>
      <c r="H74" s="229">
        <f t="shared" si="5"/>
        <v>3982.6383692380086</v>
      </c>
      <c r="I74" s="227">
        <f t="shared" si="1"/>
        <v>12000</v>
      </c>
      <c r="J74" s="231">
        <f t="shared" si="6"/>
        <v>5973.9575538570134</v>
      </c>
      <c r="K74" s="232">
        <f t="shared" si="7"/>
        <v>504921.70036362519</v>
      </c>
      <c r="L74" s="233">
        <f t="shared" si="8"/>
        <v>354921.70036362519</v>
      </c>
    </row>
    <row r="75" spans="1:12" x14ac:dyDescent="0.3">
      <c r="A75" s="225">
        <v>62</v>
      </c>
      <c r="B75" s="226">
        <f t="shared" si="0"/>
        <v>0.4921698429607031</v>
      </c>
      <c r="C75" s="227">
        <f t="shared" si="2"/>
        <v>20000</v>
      </c>
      <c r="D75" s="228"/>
      <c r="E75" s="229">
        <f t="shared" si="3"/>
        <v>9843.3968592140627</v>
      </c>
      <c r="F75" s="227">
        <f t="shared" si="4"/>
        <v>8000</v>
      </c>
      <c r="G75" s="228"/>
      <c r="H75" s="229">
        <f t="shared" si="5"/>
        <v>3937.3587436856246</v>
      </c>
      <c r="I75" s="227">
        <f t="shared" si="1"/>
        <v>12000</v>
      </c>
      <c r="J75" s="231">
        <f t="shared" si="6"/>
        <v>5906.0381155284367</v>
      </c>
      <c r="K75" s="232">
        <f t="shared" si="7"/>
        <v>510827.7384791536</v>
      </c>
      <c r="L75" s="233">
        <f t="shared" si="8"/>
        <v>360827.7384791536</v>
      </c>
    </row>
    <row r="76" spans="1:12" x14ac:dyDescent="0.3">
      <c r="A76" s="225">
        <v>63</v>
      </c>
      <c r="B76" s="226">
        <f t="shared" si="0"/>
        <v>0.48657423920979037</v>
      </c>
      <c r="C76" s="227">
        <f t="shared" si="2"/>
        <v>20000</v>
      </c>
      <c r="D76" s="228"/>
      <c r="E76" s="229">
        <f t="shared" si="3"/>
        <v>9731.4847841958072</v>
      </c>
      <c r="F76" s="227">
        <f t="shared" si="4"/>
        <v>8000</v>
      </c>
      <c r="G76" s="228"/>
      <c r="H76" s="229">
        <f t="shared" si="5"/>
        <v>3892.5939136783231</v>
      </c>
      <c r="I76" s="227">
        <f t="shared" si="1"/>
        <v>12000</v>
      </c>
      <c r="J76" s="231">
        <f t="shared" si="6"/>
        <v>5838.8908705174845</v>
      </c>
      <c r="K76" s="232">
        <f t="shared" si="7"/>
        <v>516666.62934967107</v>
      </c>
      <c r="L76" s="233">
        <f t="shared" si="8"/>
        <v>366666.62934967107</v>
      </c>
    </row>
    <row r="77" spans="1:12" x14ac:dyDescent="0.3">
      <c r="A77" s="225">
        <v>64</v>
      </c>
      <c r="B77" s="226">
        <f t="shared" si="0"/>
        <v>0.48104225329687622</v>
      </c>
      <c r="C77" s="227">
        <f t="shared" si="2"/>
        <v>20000</v>
      </c>
      <c r="D77" s="228"/>
      <c r="E77" s="229">
        <f t="shared" si="3"/>
        <v>9620.8450659375249</v>
      </c>
      <c r="F77" s="227">
        <f t="shared" si="4"/>
        <v>8000</v>
      </c>
      <c r="G77" s="228"/>
      <c r="H77" s="229">
        <f t="shared" si="5"/>
        <v>3848.3380263750096</v>
      </c>
      <c r="I77" s="227">
        <f t="shared" si="1"/>
        <v>12000</v>
      </c>
      <c r="J77" s="231">
        <f t="shared" si="6"/>
        <v>5772.5070395625144</v>
      </c>
      <c r="K77" s="232">
        <f t="shared" si="7"/>
        <v>522439.13638923358</v>
      </c>
      <c r="L77" s="233">
        <f t="shared" si="8"/>
        <v>372439.13638923358</v>
      </c>
    </row>
    <row r="78" spans="1:12" x14ac:dyDescent="0.3">
      <c r="A78" s="225">
        <v>65</v>
      </c>
      <c r="B78" s="226">
        <f t="shared" ref="B78:B109" si="16">1/POWER((1+$K$3),A78)</f>
        <v>0.47557316193462795</v>
      </c>
      <c r="C78" s="227">
        <f t="shared" si="2"/>
        <v>20000</v>
      </c>
      <c r="D78" s="228"/>
      <c r="E78" s="229">
        <f t="shared" si="3"/>
        <v>9511.4632386925587</v>
      </c>
      <c r="F78" s="227">
        <f t="shared" si="4"/>
        <v>8000</v>
      </c>
      <c r="G78" s="228"/>
      <c r="H78" s="229">
        <f t="shared" si="5"/>
        <v>3804.5852954770235</v>
      </c>
      <c r="I78" s="227">
        <f t="shared" ref="I78:I114" si="17">(C78+D78)-(F78+G78)</f>
        <v>12000</v>
      </c>
      <c r="J78" s="231">
        <f t="shared" si="6"/>
        <v>5706.8779432155352</v>
      </c>
      <c r="K78" s="232">
        <f t="shared" si="7"/>
        <v>528146.01433244906</v>
      </c>
      <c r="L78" s="233">
        <f t="shared" si="8"/>
        <v>378146.01433244906</v>
      </c>
    </row>
    <row r="79" spans="1:12" x14ac:dyDescent="0.3">
      <c r="A79" s="225">
        <v>66</v>
      </c>
      <c r="B79" s="226">
        <f t="shared" si="16"/>
        <v>0.47016625005894996</v>
      </c>
      <c r="C79" s="227">
        <f t="shared" ref="C79:C114" si="18">$K$7</f>
        <v>20000</v>
      </c>
      <c r="D79" s="228"/>
      <c r="E79" s="229">
        <f t="shared" ref="E79:E114" si="19">(C79+D79)*B79</f>
        <v>9403.3250011789987</v>
      </c>
      <c r="F79" s="227">
        <f t="shared" ref="F79:F114" si="20">$K$8</f>
        <v>8000</v>
      </c>
      <c r="G79" s="228"/>
      <c r="H79" s="229">
        <f t="shared" ref="H79:H114" si="21">(F79+G79)*B79</f>
        <v>3761.3300004715998</v>
      </c>
      <c r="I79" s="227">
        <f t="shared" si="17"/>
        <v>12000</v>
      </c>
      <c r="J79" s="231">
        <f t="shared" ref="J79:J114" si="22">I79*B79</f>
        <v>5641.9950007073994</v>
      </c>
      <c r="K79" s="232">
        <f t="shared" ref="K79:K114" si="23">K78+J79</f>
        <v>533788.00933315651</v>
      </c>
      <c r="L79" s="233">
        <f t="shared" ref="L79:L114" si="24">K79-($K$6-$K$5)</f>
        <v>383788.00933315651</v>
      </c>
    </row>
    <row r="80" spans="1:12" x14ac:dyDescent="0.3">
      <c r="A80" s="225">
        <v>67</v>
      </c>
      <c r="B80" s="226">
        <f t="shared" si="16"/>
        <v>0.46482081073549175</v>
      </c>
      <c r="C80" s="227">
        <f t="shared" si="18"/>
        <v>20000</v>
      </c>
      <c r="D80" s="228"/>
      <c r="E80" s="229">
        <f t="shared" si="19"/>
        <v>9296.4162147098359</v>
      </c>
      <c r="F80" s="227">
        <f t="shared" si="20"/>
        <v>8000</v>
      </c>
      <c r="G80" s="228"/>
      <c r="H80" s="229">
        <f t="shared" si="21"/>
        <v>3718.5664858839341</v>
      </c>
      <c r="I80" s="227">
        <f t="shared" si="17"/>
        <v>12000</v>
      </c>
      <c r="J80" s="231">
        <f t="shared" si="22"/>
        <v>5577.8497288259014</v>
      </c>
      <c r="K80" s="232">
        <f t="shared" si="23"/>
        <v>539365.85906198237</v>
      </c>
      <c r="L80" s="233">
        <f t="shared" si="24"/>
        <v>389365.85906198237</v>
      </c>
    </row>
    <row r="81" spans="1:12" x14ac:dyDescent="0.3">
      <c r="A81" s="225">
        <v>68</v>
      </c>
      <c r="B81" s="226">
        <f t="shared" si="16"/>
        <v>0.45953614506721874</v>
      </c>
      <c r="C81" s="227">
        <f t="shared" si="18"/>
        <v>20000</v>
      </c>
      <c r="D81" s="228"/>
      <c r="E81" s="229">
        <f t="shared" si="19"/>
        <v>9190.7229013443739</v>
      </c>
      <c r="F81" s="227">
        <f t="shared" si="20"/>
        <v>8000</v>
      </c>
      <c r="G81" s="228"/>
      <c r="H81" s="229">
        <f t="shared" si="21"/>
        <v>3676.2891605377499</v>
      </c>
      <c r="I81" s="227">
        <f t="shared" si="17"/>
        <v>12000</v>
      </c>
      <c r="J81" s="231">
        <f t="shared" si="22"/>
        <v>5514.4337408066249</v>
      </c>
      <c r="K81" s="232">
        <f t="shared" si="23"/>
        <v>544880.29280278902</v>
      </c>
      <c r="L81" s="233">
        <f t="shared" si="24"/>
        <v>394880.29280278902</v>
      </c>
    </row>
    <row r="82" spans="1:12" x14ac:dyDescent="0.3">
      <c r="A82" s="225">
        <v>69</v>
      </c>
      <c r="B82" s="226">
        <f t="shared" si="16"/>
        <v>0.45431156210303386</v>
      </c>
      <c r="C82" s="227">
        <f t="shared" si="18"/>
        <v>20000</v>
      </c>
      <c r="D82" s="228"/>
      <c r="E82" s="229">
        <f t="shared" si="19"/>
        <v>9086.2312420606777</v>
      </c>
      <c r="F82" s="227">
        <f t="shared" si="20"/>
        <v>8000</v>
      </c>
      <c r="G82" s="228"/>
      <c r="H82" s="229">
        <f t="shared" si="21"/>
        <v>3634.4924968242708</v>
      </c>
      <c r="I82" s="227">
        <f t="shared" si="17"/>
        <v>12000</v>
      </c>
      <c r="J82" s="231">
        <f t="shared" si="22"/>
        <v>5451.7387452364064</v>
      </c>
      <c r="K82" s="232">
        <f t="shared" si="23"/>
        <v>550332.03154802544</v>
      </c>
      <c r="L82" s="233">
        <f t="shared" si="24"/>
        <v>400332.03154802544</v>
      </c>
    </row>
    <row r="83" spans="1:12" x14ac:dyDescent="0.3">
      <c r="A83" s="225">
        <v>70</v>
      </c>
      <c r="B83" s="226">
        <f t="shared" si="16"/>
        <v>0.44914637874743829</v>
      </c>
      <c r="C83" s="227">
        <f t="shared" si="18"/>
        <v>20000</v>
      </c>
      <c r="D83" s="228"/>
      <c r="E83" s="229">
        <f t="shared" si="19"/>
        <v>8982.9275749487661</v>
      </c>
      <c r="F83" s="227">
        <f t="shared" si="20"/>
        <v>8000</v>
      </c>
      <c r="G83" s="228"/>
      <c r="H83" s="229">
        <f t="shared" si="21"/>
        <v>3593.1710299795063</v>
      </c>
      <c r="I83" s="227">
        <f t="shared" si="17"/>
        <v>12000</v>
      </c>
      <c r="J83" s="231">
        <f t="shared" si="22"/>
        <v>5389.7565449692593</v>
      </c>
      <c r="K83" s="232">
        <f t="shared" si="23"/>
        <v>555721.78809299471</v>
      </c>
      <c r="L83" s="233">
        <f t="shared" si="24"/>
        <v>405721.78809299471</v>
      </c>
    </row>
    <row r="84" spans="1:12" x14ac:dyDescent="0.3">
      <c r="A84" s="225">
        <v>71</v>
      </c>
      <c r="B84" s="226">
        <f t="shared" si="16"/>
        <v>0.44403991967121914</v>
      </c>
      <c r="C84" s="227">
        <f t="shared" si="18"/>
        <v>20000</v>
      </c>
      <c r="D84" s="228"/>
      <c r="E84" s="229">
        <f t="shared" si="19"/>
        <v>8880.7983934243821</v>
      </c>
      <c r="F84" s="227">
        <f t="shared" si="20"/>
        <v>8000</v>
      </c>
      <c r="G84" s="228"/>
      <c r="H84" s="229">
        <f t="shared" si="21"/>
        <v>3552.3193573697531</v>
      </c>
      <c r="I84" s="227">
        <f t="shared" si="17"/>
        <v>12000</v>
      </c>
      <c r="J84" s="231">
        <f t="shared" si="22"/>
        <v>5328.4790360546294</v>
      </c>
      <c r="K84" s="232">
        <f t="shared" si="23"/>
        <v>561050.26712904929</v>
      </c>
      <c r="L84" s="233">
        <f t="shared" si="24"/>
        <v>411050.26712904929</v>
      </c>
    </row>
    <row r="85" spans="1:12" x14ac:dyDescent="0.3">
      <c r="A85" s="225">
        <v>72</v>
      </c>
      <c r="B85" s="226">
        <f t="shared" si="16"/>
        <v>0.43899151722315288</v>
      </c>
      <c r="C85" s="227">
        <f t="shared" si="18"/>
        <v>20000</v>
      </c>
      <c r="D85" s="228"/>
      <c r="E85" s="229">
        <f t="shared" si="19"/>
        <v>8779.8303444630583</v>
      </c>
      <c r="F85" s="227">
        <f t="shared" si="20"/>
        <v>8000</v>
      </c>
      <c r="G85" s="228"/>
      <c r="H85" s="229">
        <f t="shared" si="21"/>
        <v>3511.9321377852229</v>
      </c>
      <c r="I85" s="227">
        <f t="shared" si="17"/>
        <v>12000</v>
      </c>
      <c r="J85" s="231">
        <f t="shared" si="22"/>
        <v>5267.8982066778344</v>
      </c>
      <c r="K85" s="232">
        <f t="shared" si="23"/>
        <v>566318.16533572716</v>
      </c>
      <c r="L85" s="233">
        <f t="shared" si="24"/>
        <v>416318.16533572716</v>
      </c>
    </row>
    <row r="86" spans="1:12" x14ac:dyDescent="0.3">
      <c r="A86" s="225">
        <v>73</v>
      </c>
      <c r="B86" s="226">
        <f t="shared" si="16"/>
        <v>0.43400051134271161</v>
      </c>
      <c r="C86" s="227">
        <f t="shared" si="18"/>
        <v>20000</v>
      </c>
      <c r="D86" s="228"/>
      <c r="E86" s="229">
        <f t="shared" si="19"/>
        <v>8680.0102268542323</v>
      </c>
      <c r="F86" s="227">
        <f t="shared" si="20"/>
        <v>8000</v>
      </c>
      <c r="G86" s="228"/>
      <c r="H86" s="229">
        <f t="shared" si="21"/>
        <v>3472.0040907416928</v>
      </c>
      <c r="I86" s="227">
        <f t="shared" si="17"/>
        <v>12000</v>
      </c>
      <c r="J86" s="231">
        <f t="shared" si="22"/>
        <v>5208.006136112539</v>
      </c>
      <c r="K86" s="232">
        <f t="shared" si="23"/>
        <v>571526.17147183965</v>
      </c>
      <c r="L86" s="233">
        <f t="shared" si="24"/>
        <v>421526.17147183965</v>
      </c>
    </row>
    <row r="87" spans="1:12" x14ac:dyDescent="0.3">
      <c r="A87" s="225">
        <v>74</v>
      </c>
      <c r="B87" s="226">
        <f t="shared" si="16"/>
        <v>0.42906624947376332</v>
      </c>
      <c r="C87" s="227">
        <f t="shared" si="18"/>
        <v>20000</v>
      </c>
      <c r="D87" s="228"/>
      <c r="E87" s="229">
        <f t="shared" si="19"/>
        <v>8581.3249894752662</v>
      </c>
      <c r="F87" s="227">
        <f t="shared" si="20"/>
        <v>8000</v>
      </c>
      <c r="G87" s="228"/>
      <c r="H87" s="229">
        <f t="shared" si="21"/>
        <v>3432.5299957901066</v>
      </c>
      <c r="I87" s="227">
        <f t="shared" si="17"/>
        <v>12000</v>
      </c>
      <c r="J87" s="231">
        <f t="shared" si="22"/>
        <v>5148.7949936851601</v>
      </c>
      <c r="K87" s="232">
        <f t="shared" si="23"/>
        <v>576674.96646552486</v>
      </c>
      <c r="L87" s="233">
        <f t="shared" si="24"/>
        <v>426674.96646552486</v>
      </c>
    </row>
    <row r="88" spans="1:12" x14ac:dyDescent="0.3">
      <c r="A88" s="225">
        <v>75</v>
      </c>
      <c r="B88" s="226">
        <f t="shared" si="16"/>
        <v>0.42418808647925194</v>
      </c>
      <c r="C88" s="227">
        <f t="shared" si="18"/>
        <v>20000</v>
      </c>
      <c r="D88" s="228"/>
      <c r="E88" s="229">
        <f t="shared" si="19"/>
        <v>8483.7617295850396</v>
      </c>
      <c r="F88" s="227">
        <f t="shared" si="20"/>
        <v>8000</v>
      </c>
      <c r="G88" s="228"/>
      <c r="H88" s="229">
        <f t="shared" si="21"/>
        <v>3393.5046918340154</v>
      </c>
      <c r="I88" s="227">
        <f t="shared" si="17"/>
        <v>12000</v>
      </c>
      <c r="J88" s="231">
        <f t="shared" si="22"/>
        <v>5090.2570377510228</v>
      </c>
      <c r="K88" s="232">
        <f t="shared" si="23"/>
        <v>581765.22350327589</v>
      </c>
      <c r="L88" s="233">
        <f t="shared" si="24"/>
        <v>431765.22350327589</v>
      </c>
    </row>
    <row r="89" spans="1:12" x14ac:dyDescent="0.3">
      <c r="A89" s="225">
        <v>76</v>
      </c>
      <c r="B89" s="226">
        <f t="shared" si="16"/>
        <v>0.41936538455684813</v>
      </c>
      <c r="C89" s="227">
        <f t="shared" si="18"/>
        <v>20000</v>
      </c>
      <c r="D89" s="228"/>
      <c r="E89" s="229">
        <f t="shared" si="19"/>
        <v>8387.3076911369626</v>
      </c>
      <c r="F89" s="227">
        <f t="shared" si="20"/>
        <v>8000</v>
      </c>
      <c r="G89" s="228"/>
      <c r="H89" s="229">
        <f t="shared" si="21"/>
        <v>3354.9230764547851</v>
      </c>
      <c r="I89" s="227">
        <f t="shared" si="17"/>
        <v>12000</v>
      </c>
      <c r="J89" s="231">
        <f t="shared" si="22"/>
        <v>5032.3846146821779</v>
      </c>
      <c r="K89" s="232">
        <f t="shared" si="23"/>
        <v>586797.60811795807</v>
      </c>
      <c r="L89" s="233">
        <f t="shared" si="24"/>
        <v>436797.60811795807</v>
      </c>
    </row>
    <row r="90" spans="1:12" x14ac:dyDescent="0.3">
      <c r="A90" s="225">
        <v>77</v>
      </c>
      <c r="B90" s="226">
        <f t="shared" si="16"/>
        <v>0.41459751315555915</v>
      </c>
      <c r="C90" s="227">
        <f t="shared" si="18"/>
        <v>20000</v>
      </c>
      <c r="D90" s="228"/>
      <c r="E90" s="229">
        <f t="shared" si="19"/>
        <v>8291.9502631111827</v>
      </c>
      <c r="F90" s="227">
        <f t="shared" si="20"/>
        <v>8000</v>
      </c>
      <c r="G90" s="228"/>
      <c r="H90" s="229">
        <f t="shared" si="21"/>
        <v>3316.7801052444734</v>
      </c>
      <c r="I90" s="227">
        <f t="shared" si="17"/>
        <v>12000</v>
      </c>
      <c r="J90" s="231">
        <f t="shared" si="22"/>
        <v>4975.1701578667098</v>
      </c>
      <c r="K90" s="232">
        <f t="shared" si="23"/>
        <v>591772.77827582473</v>
      </c>
      <c r="L90" s="233">
        <f t="shared" si="24"/>
        <v>441772.77827582473</v>
      </c>
    </row>
    <row r="91" spans="1:12" x14ac:dyDescent="0.3">
      <c r="A91" s="225">
        <v>78</v>
      </c>
      <c r="B91" s="226">
        <f t="shared" si="16"/>
        <v>0.40988384889328638</v>
      </c>
      <c r="C91" s="227">
        <f t="shared" si="18"/>
        <v>20000</v>
      </c>
      <c r="D91" s="228"/>
      <c r="E91" s="229">
        <f t="shared" si="19"/>
        <v>8197.6769778657272</v>
      </c>
      <c r="F91" s="227">
        <f t="shared" si="20"/>
        <v>8000</v>
      </c>
      <c r="G91" s="228"/>
      <c r="H91" s="229">
        <f t="shared" si="21"/>
        <v>3279.070791146291</v>
      </c>
      <c r="I91" s="227">
        <f t="shared" si="17"/>
        <v>12000</v>
      </c>
      <c r="J91" s="231">
        <f t="shared" si="22"/>
        <v>4918.6061867194367</v>
      </c>
      <c r="K91" s="232">
        <f t="shared" si="23"/>
        <v>596691.38446254423</v>
      </c>
      <c r="L91" s="233">
        <f t="shared" si="24"/>
        <v>446691.38446254423</v>
      </c>
    </row>
    <row r="92" spans="1:12" x14ac:dyDescent="0.3">
      <c r="A92" s="225">
        <v>79</v>
      </c>
      <c r="B92" s="226">
        <f t="shared" si="16"/>
        <v>0.40522377547532012</v>
      </c>
      <c r="C92" s="227">
        <f t="shared" si="18"/>
        <v>20000</v>
      </c>
      <c r="D92" s="228"/>
      <c r="E92" s="229">
        <f t="shared" si="19"/>
        <v>8104.4755095064029</v>
      </c>
      <c r="F92" s="227">
        <f t="shared" si="20"/>
        <v>8000</v>
      </c>
      <c r="G92" s="228"/>
      <c r="H92" s="229">
        <f t="shared" si="21"/>
        <v>3241.7902038025609</v>
      </c>
      <c r="I92" s="227">
        <f t="shared" si="17"/>
        <v>12000</v>
      </c>
      <c r="J92" s="231">
        <f t="shared" si="22"/>
        <v>4862.6853057038415</v>
      </c>
      <c r="K92" s="232">
        <f t="shared" si="23"/>
        <v>601554.06976824813</v>
      </c>
      <c r="L92" s="233">
        <f t="shared" si="24"/>
        <v>451554.06976824813</v>
      </c>
    </row>
    <row r="93" spans="1:12" x14ac:dyDescent="0.3">
      <c r="A93" s="225">
        <v>80</v>
      </c>
      <c r="B93" s="226">
        <f t="shared" si="16"/>
        <v>0.40061668361376174</v>
      </c>
      <c r="C93" s="227">
        <f t="shared" si="18"/>
        <v>20000</v>
      </c>
      <c r="D93" s="228"/>
      <c r="E93" s="229">
        <f t="shared" si="19"/>
        <v>8012.3336722752347</v>
      </c>
      <c r="F93" s="227">
        <f t="shared" si="20"/>
        <v>8000</v>
      </c>
      <c r="G93" s="228"/>
      <c r="H93" s="229">
        <f t="shared" si="21"/>
        <v>3204.9334689100938</v>
      </c>
      <c r="I93" s="227">
        <f t="shared" si="17"/>
        <v>12000</v>
      </c>
      <c r="J93" s="231">
        <f t="shared" si="22"/>
        <v>4807.4002033651404</v>
      </c>
      <c r="K93" s="232">
        <f t="shared" si="23"/>
        <v>606361.46997161326</v>
      </c>
      <c r="L93" s="233">
        <f t="shared" si="24"/>
        <v>456361.46997161326</v>
      </c>
    </row>
    <row r="94" spans="1:12" x14ac:dyDescent="0.3">
      <c r="A94" s="225">
        <v>81</v>
      </c>
      <c r="B94" s="226">
        <f t="shared" si="16"/>
        <v>0.39606197094786133</v>
      </c>
      <c r="C94" s="227">
        <f t="shared" si="18"/>
        <v>20000</v>
      </c>
      <c r="D94" s="228"/>
      <c r="E94" s="229">
        <f t="shared" si="19"/>
        <v>7921.2394189572269</v>
      </c>
      <c r="F94" s="227">
        <f t="shared" si="20"/>
        <v>8000</v>
      </c>
      <c r="G94" s="228"/>
      <c r="H94" s="229">
        <f t="shared" si="21"/>
        <v>3168.4957675828905</v>
      </c>
      <c r="I94" s="227">
        <f t="shared" si="17"/>
        <v>12000</v>
      </c>
      <c r="J94" s="231">
        <f t="shared" si="22"/>
        <v>4752.743651374336</v>
      </c>
      <c r="K94" s="232">
        <f t="shared" si="23"/>
        <v>611114.21362298762</v>
      </c>
      <c r="L94" s="233">
        <f t="shared" si="24"/>
        <v>461114.21362298762</v>
      </c>
    </row>
    <row r="95" spans="1:12" x14ac:dyDescent="0.3">
      <c r="A95" s="225">
        <v>82</v>
      </c>
      <c r="B95" s="226">
        <f t="shared" si="16"/>
        <v>0.39155904196526081</v>
      </c>
      <c r="C95" s="227">
        <f t="shared" si="18"/>
        <v>20000</v>
      </c>
      <c r="D95" s="228"/>
      <c r="E95" s="229">
        <f t="shared" si="19"/>
        <v>7831.1808393052161</v>
      </c>
      <c r="F95" s="227">
        <f t="shared" si="20"/>
        <v>8000</v>
      </c>
      <c r="G95" s="228"/>
      <c r="H95" s="229">
        <f t="shared" si="21"/>
        <v>3132.4723357220864</v>
      </c>
      <c r="I95" s="227">
        <f t="shared" si="17"/>
        <v>12000</v>
      </c>
      <c r="J95" s="231">
        <f t="shared" si="22"/>
        <v>4698.7085035831296</v>
      </c>
      <c r="K95" s="232">
        <f t="shared" si="23"/>
        <v>615812.92212657072</v>
      </c>
      <c r="L95" s="233">
        <f t="shared" si="24"/>
        <v>465812.92212657072</v>
      </c>
    </row>
    <row r="96" spans="1:12" x14ac:dyDescent="0.3">
      <c r="A96" s="225">
        <v>83</v>
      </c>
      <c r="B96" s="226">
        <f t="shared" si="16"/>
        <v>0.38710730792413323</v>
      </c>
      <c r="C96" s="227">
        <f t="shared" si="18"/>
        <v>20000</v>
      </c>
      <c r="D96" s="228"/>
      <c r="E96" s="229">
        <f t="shared" si="19"/>
        <v>7742.1461584826648</v>
      </c>
      <c r="F96" s="227">
        <f t="shared" si="20"/>
        <v>8000</v>
      </c>
      <c r="G96" s="228"/>
      <c r="H96" s="229">
        <f t="shared" si="21"/>
        <v>3096.8584633930659</v>
      </c>
      <c r="I96" s="227">
        <f t="shared" si="17"/>
        <v>12000</v>
      </c>
      <c r="J96" s="231">
        <f t="shared" si="22"/>
        <v>4645.2876950895989</v>
      </c>
      <c r="K96" s="232">
        <f t="shared" si="23"/>
        <v>620458.2098216603</v>
      </c>
      <c r="L96" s="233">
        <f t="shared" si="24"/>
        <v>470458.2098216603</v>
      </c>
    </row>
    <row r="97" spans="1:12" x14ac:dyDescent="0.3">
      <c r="A97" s="225">
        <v>84</v>
      </c>
      <c r="B97" s="226">
        <f t="shared" si="16"/>
        <v>0.38270618677620688</v>
      </c>
      <c r="C97" s="227">
        <f t="shared" si="18"/>
        <v>20000</v>
      </c>
      <c r="D97" s="228"/>
      <c r="E97" s="229">
        <f t="shared" si="19"/>
        <v>7654.1237355241374</v>
      </c>
      <c r="F97" s="227">
        <f t="shared" si="20"/>
        <v>8000</v>
      </c>
      <c r="G97" s="228"/>
      <c r="H97" s="229">
        <f t="shared" si="21"/>
        <v>3061.6494942096551</v>
      </c>
      <c r="I97" s="227">
        <f t="shared" si="17"/>
        <v>12000</v>
      </c>
      <c r="J97" s="231">
        <f t="shared" si="22"/>
        <v>4592.4742413144822</v>
      </c>
      <c r="K97" s="232">
        <f t="shared" si="23"/>
        <v>625050.68406297476</v>
      </c>
      <c r="L97" s="233">
        <f t="shared" si="24"/>
        <v>475050.68406297476</v>
      </c>
    </row>
    <row r="98" spans="1:12" x14ac:dyDescent="0.3">
      <c r="A98" s="225">
        <v>85</v>
      </c>
      <c r="B98" s="226">
        <f t="shared" si="16"/>
        <v>0.37835510309066422</v>
      </c>
      <c r="C98" s="227">
        <f t="shared" si="18"/>
        <v>20000</v>
      </c>
      <c r="D98" s="228"/>
      <c r="E98" s="229">
        <f t="shared" si="19"/>
        <v>7567.1020618132843</v>
      </c>
      <c r="F98" s="227">
        <f t="shared" si="20"/>
        <v>8000</v>
      </c>
      <c r="G98" s="228"/>
      <c r="H98" s="229">
        <f t="shared" si="21"/>
        <v>3026.8408247253137</v>
      </c>
      <c r="I98" s="227">
        <f t="shared" si="17"/>
        <v>12000</v>
      </c>
      <c r="J98" s="231">
        <f t="shared" si="22"/>
        <v>4540.2612370879706</v>
      </c>
      <c r="K98" s="232">
        <f t="shared" si="23"/>
        <v>629590.94530006277</v>
      </c>
      <c r="L98" s="233">
        <f t="shared" si="24"/>
        <v>479590.94530006277</v>
      </c>
    </row>
    <row r="99" spans="1:12" x14ac:dyDescent="0.3">
      <c r="A99" s="225">
        <v>86</v>
      </c>
      <c r="B99" s="226">
        <f t="shared" si="16"/>
        <v>0.37405348797890675</v>
      </c>
      <c r="C99" s="227">
        <f t="shared" si="18"/>
        <v>20000</v>
      </c>
      <c r="D99" s="228"/>
      <c r="E99" s="229">
        <f t="shared" si="19"/>
        <v>7481.0697595781348</v>
      </c>
      <c r="F99" s="227">
        <f t="shared" si="20"/>
        <v>8000</v>
      </c>
      <c r="G99" s="228"/>
      <c r="H99" s="229">
        <f t="shared" si="21"/>
        <v>2992.4279038312538</v>
      </c>
      <c r="I99" s="227">
        <f t="shared" si="17"/>
        <v>12000</v>
      </c>
      <c r="J99" s="231">
        <f t="shared" si="22"/>
        <v>4488.6418557468814</v>
      </c>
      <c r="K99" s="232">
        <f t="shared" si="23"/>
        <v>634079.58715580963</v>
      </c>
      <c r="L99" s="233">
        <f t="shared" si="24"/>
        <v>484079.58715580963</v>
      </c>
    </row>
    <row r="100" spans="1:12" x14ac:dyDescent="0.3">
      <c r="A100" s="225">
        <v>87</v>
      </c>
      <c r="B100" s="226">
        <f t="shared" si="16"/>
        <v>0.36980077902017466</v>
      </c>
      <c r="C100" s="227">
        <f t="shared" si="18"/>
        <v>20000</v>
      </c>
      <c r="D100" s="228"/>
      <c r="E100" s="229">
        <f t="shared" si="19"/>
        <v>7396.015580403493</v>
      </c>
      <c r="F100" s="227">
        <f t="shared" si="20"/>
        <v>8000</v>
      </c>
      <c r="G100" s="228"/>
      <c r="H100" s="229">
        <f t="shared" si="21"/>
        <v>2958.4062321613974</v>
      </c>
      <c r="I100" s="227">
        <f t="shared" si="17"/>
        <v>12000</v>
      </c>
      <c r="J100" s="231">
        <f t="shared" si="22"/>
        <v>4437.6093482420956</v>
      </c>
      <c r="K100" s="232">
        <f t="shared" si="23"/>
        <v>638517.19650405168</v>
      </c>
      <c r="L100" s="233">
        <f t="shared" si="24"/>
        <v>488517.19650405168</v>
      </c>
    </row>
    <row r="101" spans="1:12" x14ac:dyDescent="0.3">
      <c r="A101" s="225">
        <v>88</v>
      </c>
      <c r="B101" s="226">
        <f t="shared" si="16"/>
        <v>0.36559642018801247</v>
      </c>
      <c r="C101" s="227">
        <f t="shared" si="18"/>
        <v>20000</v>
      </c>
      <c r="D101" s="228"/>
      <c r="E101" s="229">
        <f t="shared" si="19"/>
        <v>7311.9284037602492</v>
      </c>
      <c r="F101" s="227">
        <f t="shared" si="20"/>
        <v>8000</v>
      </c>
      <c r="G101" s="228"/>
      <c r="H101" s="229">
        <f t="shared" si="21"/>
        <v>2924.7713615040998</v>
      </c>
      <c r="I101" s="227">
        <f t="shared" si="17"/>
        <v>12000</v>
      </c>
      <c r="J101" s="231">
        <f t="shared" si="22"/>
        <v>4387.1570422561499</v>
      </c>
      <c r="K101" s="232">
        <f t="shared" si="23"/>
        <v>642904.35354630789</v>
      </c>
      <c r="L101" s="233">
        <f t="shared" si="24"/>
        <v>492904.35354630789</v>
      </c>
    </row>
    <row r="102" spans="1:12" x14ac:dyDescent="0.3">
      <c r="A102" s="225">
        <v>89</v>
      </c>
      <c r="B102" s="226">
        <f t="shared" si="16"/>
        <v>0.36143986177757037</v>
      </c>
      <c r="C102" s="227">
        <f t="shared" si="18"/>
        <v>20000</v>
      </c>
      <c r="D102" s="228"/>
      <c r="E102" s="229">
        <f t="shared" si="19"/>
        <v>7228.7972355514075</v>
      </c>
      <c r="F102" s="227">
        <f t="shared" si="20"/>
        <v>8000</v>
      </c>
      <c r="G102" s="228"/>
      <c r="H102" s="229">
        <f t="shared" si="21"/>
        <v>2891.5188942205627</v>
      </c>
      <c r="I102" s="227">
        <f t="shared" si="17"/>
        <v>12000</v>
      </c>
      <c r="J102" s="231">
        <f t="shared" si="22"/>
        <v>4337.2783413308443</v>
      </c>
      <c r="K102" s="232">
        <f t="shared" si="23"/>
        <v>647241.63188763871</v>
      </c>
      <c r="L102" s="233">
        <f t="shared" si="24"/>
        <v>497241.63188763871</v>
      </c>
    </row>
    <row r="103" spans="1:12" x14ac:dyDescent="0.3">
      <c r="A103" s="225">
        <v>90</v>
      </c>
      <c r="B103" s="226">
        <f t="shared" si="16"/>
        <v>0.35733056033373239</v>
      </c>
      <c r="C103" s="227">
        <f t="shared" si="18"/>
        <v>20000</v>
      </c>
      <c r="D103" s="228"/>
      <c r="E103" s="229">
        <f t="shared" si="19"/>
        <v>7146.6112066746482</v>
      </c>
      <c r="F103" s="227">
        <f t="shared" si="20"/>
        <v>8000</v>
      </c>
      <c r="G103" s="228"/>
      <c r="H103" s="229">
        <f t="shared" si="21"/>
        <v>2858.6444826698594</v>
      </c>
      <c r="I103" s="227">
        <f t="shared" si="17"/>
        <v>12000</v>
      </c>
      <c r="J103" s="231">
        <f t="shared" si="22"/>
        <v>4287.9667240047884</v>
      </c>
      <c r="K103" s="232">
        <f t="shared" si="23"/>
        <v>651529.59861164354</v>
      </c>
      <c r="L103" s="233">
        <f t="shared" si="24"/>
        <v>501529.59861164354</v>
      </c>
    </row>
    <row r="104" spans="1:12" x14ac:dyDescent="0.3">
      <c r="A104" s="225">
        <v>91</v>
      </c>
      <c r="B104" s="226">
        <f t="shared" si="16"/>
        <v>0.3532679785800617</v>
      </c>
      <c r="C104" s="227">
        <f t="shared" si="18"/>
        <v>20000</v>
      </c>
      <c r="D104" s="228"/>
      <c r="E104" s="229">
        <f t="shared" si="19"/>
        <v>7065.3595716012342</v>
      </c>
      <c r="F104" s="227">
        <f t="shared" si="20"/>
        <v>8000</v>
      </c>
      <c r="G104" s="228"/>
      <c r="H104" s="229">
        <f t="shared" si="21"/>
        <v>2826.1438286404937</v>
      </c>
      <c r="I104" s="227">
        <f t="shared" si="17"/>
        <v>12000</v>
      </c>
      <c r="J104" s="231">
        <f t="shared" si="22"/>
        <v>4239.2157429607405</v>
      </c>
      <c r="K104" s="232">
        <f t="shared" si="23"/>
        <v>655768.81435460423</v>
      </c>
      <c r="L104" s="233">
        <f t="shared" si="24"/>
        <v>505768.81435460423</v>
      </c>
    </row>
    <row r="105" spans="1:12" x14ac:dyDescent="0.3">
      <c r="A105" s="225">
        <v>92</v>
      </c>
      <c r="B105" s="226">
        <f t="shared" si="16"/>
        <v>0.34925158534855333</v>
      </c>
      <c r="C105" s="227">
        <f t="shared" si="18"/>
        <v>20000</v>
      </c>
      <c r="D105" s="228"/>
      <c r="E105" s="229">
        <f t="shared" si="19"/>
        <v>6985.0317069710663</v>
      </c>
      <c r="F105" s="227">
        <f t="shared" si="20"/>
        <v>8000</v>
      </c>
      <c r="G105" s="228"/>
      <c r="H105" s="229">
        <f t="shared" si="21"/>
        <v>2794.0126827884264</v>
      </c>
      <c r="I105" s="227">
        <f t="shared" si="17"/>
        <v>12000</v>
      </c>
      <c r="J105" s="231">
        <f t="shared" si="22"/>
        <v>4191.0190241826404</v>
      </c>
      <c r="K105" s="232">
        <f t="shared" si="23"/>
        <v>659959.83337878692</v>
      </c>
      <c r="L105" s="233">
        <f t="shared" si="24"/>
        <v>509959.83337878692</v>
      </c>
    </row>
    <row r="106" spans="1:12" x14ac:dyDescent="0.3">
      <c r="A106" s="225">
        <v>93</v>
      </c>
      <c r="B106" s="226">
        <f t="shared" si="16"/>
        <v>0.34528085551018617</v>
      </c>
      <c r="C106" s="227">
        <f t="shared" si="18"/>
        <v>20000</v>
      </c>
      <c r="D106" s="228"/>
      <c r="E106" s="229">
        <f t="shared" si="19"/>
        <v>6905.6171102037233</v>
      </c>
      <c r="F106" s="227">
        <f t="shared" si="20"/>
        <v>8000</v>
      </c>
      <c r="G106" s="228"/>
      <c r="H106" s="229">
        <f t="shared" si="21"/>
        <v>2762.2468440814891</v>
      </c>
      <c r="I106" s="227">
        <f t="shared" si="17"/>
        <v>12000</v>
      </c>
      <c r="J106" s="231">
        <f t="shared" si="22"/>
        <v>4143.3702661222342</v>
      </c>
      <c r="K106" s="232">
        <f t="shared" si="23"/>
        <v>664103.2036449092</v>
      </c>
      <c r="L106" s="233">
        <f t="shared" si="24"/>
        <v>514103.2036449092</v>
      </c>
    </row>
    <row r="107" spans="1:12" x14ac:dyDescent="0.3">
      <c r="A107" s="225">
        <v>94</v>
      </c>
      <c r="B107" s="226">
        <f t="shared" si="16"/>
        <v>0.34135526990626408</v>
      </c>
      <c r="C107" s="227">
        <f t="shared" si="18"/>
        <v>20000</v>
      </c>
      <c r="D107" s="228"/>
      <c r="E107" s="229">
        <f t="shared" si="19"/>
        <v>6827.1053981252817</v>
      </c>
      <c r="F107" s="227">
        <f t="shared" si="20"/>
        <v>8000</v>
      </c>
      <c r="G107" s="228"/>
      <c r="H107" s="229">
        <f t="shared" si="21"/>
        <v>2730.8421592501127</v>
      </c>
      <c r="I107" s="227">
        <f t="shared" si="17"/>
        <v>12000</v>
      </c>
      <c r="J107" s="231">
        <f t="shared" si="22"/>
        <v>4096.263238875169</v>
      </c>
      <c r="K107" s="232">
        <f t="shared" si="23"/>
        <v>668199.46688378439</v>
      </c>
      <c r="L107" s="233">
        <f t="shared" si="24"/>
        <v>518199.46688378439</v>
      </c>
    </row>
    <row r="108" spans="1:12" x14ac:dyDescent="0.3">
      <c r="A108" s="225">
        <v>95</v>
      </c>
      <c r="B108" s="226">
        <f t="shared" si="16"/>
        <v>0.33747431528053784</v>
      </c>
      <c r="C108" s="227">
        <f t="shared" si="18"/>
        <v>20000</v>
      </c>
      <c r="D108" s="228"/>
      <c r="E108" s="229">
        <f t="shared" si="19"/>
        <v>6749.486305610757</v>
      </c>
      <c r="F108" s="227">
        <f t="shared" si="20"/>
        <v>8000</v>
      </c>
      <c r="G108" s="228"/>
      <c r="H108" s="229">
        <f t="shared" si="21"/>
        <v>2699.7945222443027</v>
      </c>
      <c r="I108" s="227">
        <f t="shared" si="17"/>
        <v>12000</v>
      </c>
      <c r="J108" s="231">
        <f t="shared" si="22"/>
        <v>4049.6917833664543</v>
      </c>
      <c r="K108" s="232">
        <f t="shared" si="23"/>
        <v>672249.15866715088</v>
      </c>
      <c r="L108" s="233">
        <f t="shared" si="24"/>
        <v>522249.15866715088</v>
      </c>
    </row>
    <row r="109" spans="1:12" x14ac:dyDescent="0.3">
      <c r="A109" s="225">
        <v>96</v>
      </c>
      <c r="B109" s="226">
        <f t="shared" si="16"/>
        <v>0.33363748421209866</v>
      </c>
      <c r="C109" s="227">
        <f t="shared" si="18"/>
        <v>20000</v>
      </c>
      <c r="D109" s="228"/>
      <c r="E109" s="229">
        <f t="shared" si="19"/>
        <v>6672.7496842419732</v>
      </c>
      <c r="F109" s="227">
        <f t="shared" si="20"/>
        <v>8000</v>
      </c>
      <c r="G109" s="228"/>
      <c r="H109" s="229">
        <f t="shared" si="21"/>
        <v>2669.0998736967895</v>
      </c>
      <c r="I109" s="227">
        <f t="shared" si="17"/>
        <v>12000</v>
      </c>
      <c r="J109" s="231">
        <f t="shared" si="22"/>
        <v>4003.6498105451838</v>
      </c>
      <c r="K109" s="232">
        <f t="shared" si="23"/>
        <v>676252.80847769603</v>
      </c>
      <c r="L109" s="233">
        <f t="shared" si="24"/>
        <v>526252.80847769603</v>
      </c>
    </row>
    <row r="110" spans="1:12" x14ac:dyDescent="0.3">
      <c r="A110" s="225">
        <v>97</v>
      </c>
      <c r="B110" s="226">
        <f>1/POWER((1+$K$3),A110)</f>
        <v>0.32984427504903474</v>
      </c>
      <c r="C110" s="227">
        <f t="shared" si="18"/>
        <v>20000</v>
      </c>
      <c r="D110" s="228"/>
      <c r="E110" s="229">
        <f t="shared" si="19"/>
        <v>6596.8855009806948</v>
      </c>
      <c r="F110" s="227">
        <f t="shared" si="20"/>
        <v>8000</v>
      </c>
      <c r="G110" s="228"/>
      <c r="H110" s="229">
        <f t="shared" si="21"/>
        <v>2638.7542003922781</v>
      </c>
      <c r="I110" s="227">
        <f t="shared" si="17"/>
        <v>12000</v>
      </c>
      <c r="J110" s="231">
        <f t="shared" si="22"/>
        <v>3958.1313005884167</v>
      </c>
      <c r="K110" s="232">
        <f t="shared" si="23"/>
        <v>680210.9397782844</v>
      </c>
      <c r="L110" s="233">
        <f t="shared" si="24"/>
        <v>530210.9397782844</v>
      </c>
    </row>
    <row r="111" spans="1:12" x14ac:dyDescent="0.3">
      <c r="A111" s="225">
        <v>98</v>
      </c>
      <c r="B111" s="226">
        <f>1/POWER((1+$K$3),A111)</f>
        <v>0.326094191842842</v>
      </c>
      <c r="C111" s="227">
        <f t="shared" si="18"/>
        <v>20000</v>
      </c>
      <c r="D111" s="228"/>
      <c r="E111" s="229">
        <f t="shared" si="19"/>
        <v>6521.8838368568395</v>
      </c>
      <c r="F111" s="227">
        <f t="shared" si="20"/>
        <v>8000</v>
      </c>
      <c r="G111" s="228"/>
      <c r="H111" s="229">
        <f t="shared" si="21"/>
        <v>2608.7535347427361</v>
      </c>
      <c r="I111" s="227">
        <f t="shared" si="17"/>
        <v>12000</v>
      </c>
      <c r="J111" s="231">
        <f t="shared" si="22"/>
        <v>3913.1303021141039</v>
      </c>
      <c r="K111" s="232">
        <f t="shared" si="23"/>
        <v>684124.07008039847</v>
      </c>
      <c r="L111" s="233">
        <f t="shared" si="24"/>
        <v>534124.07008039847</v>
      </c>
    </row>
    <row r="112" spans="1:12" x14ac:dyDescent="0.3">
      <c r="A112" s="225">
        <v>99</v>
      </c>
      <c r="B112" s="226">
        <f>1/POWER((1+$K$3),A112)</f>
        <v>0.32238674428358083</v>
      </c>
      <c r="C112" s="227">
        <f t="shared" si="18"/>
        <v>20000</v>
      </c>
      <c r="D112" s="228"/>
      <c r="E112" s="229">
        <f t="shared" si="19"/>
        <v>6447.7348856716162</v>
      </c>
      <c r="F112" s="227">
        <f t="shared" si="20"/>
        <v>8000</v>
      </c>
      <c r="G112" s="228"/>
      <c r="H112" s="229">
        <f t="shared" si="21"/>
        <v>2579.0939542686465</v>
      </c>
      <c r="I112" s="227">
        <f t="shared" si="17"/>
        <v>12000</v>
      </c>
      <c r="J112" s="231">
        <f t="shared" si="22"/>
        <v>3868.6409314029697</v>
      </c>
      <c r="K112" s="232">
        <f t="shared" si="23"/>
        <v>687992.71101180138</v>
      </c>
      <c r="L112" s="233">
        <f t="shared" si="24"/>
        <v>537992.71101180138</v>
      </c>
    </row>
    <row r="113" spans="1:12" x14ac:dyDescent="0.3">
      <c r="A113" s="225">
        <v>100</v>
      </c>
      <c r="B113" s="226">
        <f>1/POWER((1+$K$3),A113)</f>
        <v>0.31872144763576943</v>
      </c>
      <c r="C113" s="227">
        <f t="shared" si="18"/>
        <v>20000</v>
      </c>
      <c r="D113" s="228"/>
      <c r="E113" s="229">
        <f t="shared" si="19"/>
        <v>6374.4289527153887</v>
      </c>
      <c r="F113" s="227">
        <f t="shared" si="20"/>
        <v>8000</v>
      </c>
      <c r="G113" s="228"/>
      <c r="H113" s="229">
        <f t="shared" si="21"/>
        <v>2549.7715810861555</v>
      </c>
      <c r="I113" s="227">
        <f t="shared" si="17"/>
        <v>12000</v>
      </c>
      <c r="J113" s="231">
        <f t="shared" si="22"/>
        <v>3824.6573716292332</v>
      </c>
      <c r="K113" s="232">
        <f t="shared" si="23"/>
        <v>691817.36838343064</v>
      </c>
      <c r="L113" s="233">
        <f t="shared" si="24"/>
        <v>541817.36838343064</v>
      </c>
    </row>
    <row r="114" spans="1:12" x14ac:dyDescent="0.3">
      <c r="A114" s="225">
        <v>101</v>
      </c>
      <c r="B114" s="226">
        <f>1/POWER((1+$K$3),A114)</f>
        <v>0.31509782267500686</v>
      </c>
      <c r="C114" s="227">
        <f t="shared" si="18"/>
        <v>20000</v>
      </c>
      <c r="D114" s="228"/>
      <c r="E114" s="229">
        <f t="shared" si="19"/>
        <v>6301.9564535001373</v>
      </c>
      <c r="F114" s="227">
        <f t="shared" si="20"/>
        <v>8000</v>
      </c>
      <c r="G114" s="228"/>
      <c r="H114" s="229">
        <f t="shared" si="21"/>
        <v>2520.7825814000548</v>
      </c>
      <c r="I114" s="227">
        <f t="shared" si="17"/>
        <v>12000</v>
      </c>
      <c r="J114" s="231">
        <f t="shared" si="22"/>
        <v>3781.1738721000825</v>
      </c>
      <c r="K114" s="232">
        <f t="shared" si="23"/>
        <v>695598.54225553072</v>
      </c>
      <c r="L114" s="233">
        <f t="shared" si="24"/>
        <v>545598.54225553072</v>
      </c>
    </row>
  </sheetData>
  <customSheetViews>
    <customSheetView guid="{A466747D-BC11-4359-8DB2-79FDF5927363}" scale="81" topLeftCell="A8">
      <selection activeCell="K12" sqref="K12"/>
      <pageMargins left="0.7" right="0.7" top="0.75" bottom="0.75" header="0.3" footer="0.3"/>
    </customSheetView>
    <customSheetView guid="{076EF5BB-A6AA-4ACD-9CF4-82C37E85D83C}" scale="81" topLeftCell="A19">
      <selection activeCell="L14" sqref="L14"/>
      <pageMargins left="0.7" right="0.7" top="0.75" bottom="0.75" header="0.3" footer="0.3"/>
    </customSheetView>
    <customSheetView guid="{519414D7-B194-4B83-AA2D-520F5FD85EC7}" scale="81" topLeftCell="A8">
      <selection activeCell="K12" sqref="K1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0"/>
  <sheetViews>
    <sheetView topLeftCell="A4" workbookViewId="0">
      <selection activeCell="D5" sqref="D5"/>
    </sheetView>
  </sheetViews>
  <sheetFormatPr baseColWidth="10" defaultColWidth="11.44140625" defaultRowHeight="14.4" x14ac:dyDescent="0.3"/>
  <cols>
    <col min="2" max="2" width="13.109375" customWidth="1"/>
    <col min="3" max="3" width="26.88671875" customWidth="1"/>
    <col min="4" max="4" width="75.109375" customWidth="1"/>
  </cols>
  <sheetData>
    <row r="1" spans="2:4" ht="15" thickBot="1" x14ac:dyDescent="0.35">
      <c r="B1" s="174"/>
      <c r="D1" s="1"/>
    </row>
    <row r="2" spans="2:4" ht="15" thickBot="1" x14ac:dyDescent="0.35">
      <c r="B2" s="175" t="s">
        <v>438</v>
      </c>
      <c r="C2" s="176" t="s">
        <v>439</v>
      </c>
      <c r="D2" s="177" t="s">
        <v>440</v>
      </c>
    </row>
    <row r="3" spans="2:4" ht="28.8" x14ac:dyDescent="0.3">
      <c r="B3" s="188">
        <v>41541</v>
      </c>
      <c r="C3" s="178" t="s">
        <v>441</v>
      </c>
      <c r="D3" s="179" t="s">
        <v>442</v>
      </c>
    </row>
    <row r="4" spans="2:4" x14ac:dyDescent="0.3">
      <c r="B4" s="180">
        <v>41556</v>
      </c>
      <c r="C4" s="181" t="s">
        <v>477</v>
      </c>
      <c r="D4" s="182" t="s">
        <v>486</v>
      </c>
    </row>
    <row r="5" spans="2:4" x14ac:dyDescent="0.3">
      <c r="B5" s="183">
        <v>41608</v>
      </c>
      <c r="C5" s="181" t="s">
        <v>519</v>
      </c>
      <c r="D5" s="182" t="s">
        <v>518</v>
      </c>
    </row>
    <row r="6" spans="2:4" x14ac:dyDescent="0.3">
      <c r="B6" s="183"/>
      <c r="C6" s="181"/>
      <c r="D6" s="182"/>
    </row>
    <row r="7" spans="2:4" x14ac:dyDescent="0.3">
      <c r="B7" s="184"/>
      <c r="C7" s="181"/>
      <c r="D7" s="182"/>
    </row>
    <row r="8" spans="2:4" x14ac:dyDescent="0.3">
      <c r="B8" s="184"/>
      <c r="C8" s="181"/>
      <c r="D8" s="182"/>
    </row>
    <row r="9" spans="2:4" x14ac:dyDescent="0.3">
      <c r="B9" s="184"/>
      <c r="C9" s="181"/>
      <c r="D9" s="182"/>
    </row>
    <row r="10" spans="2:4" x14ac:dyDescent="0.3">
      <c r="B10" s="184"/>
      <c r="C10" s="181"/>
      <c r="D10" s="182"/>
    </row>
    <row r="11" spans="2:4" x14ac:dyDescent="0.3">
      <c r="B11" s="184"/>
      <c r="C11" s="181"/>
      <c r="D11" s="182"/>
    </row>
    <row r="12" spans="2:4" x14ac:dyDescent="0.3">
      <c r="B12" s="184"/>
      <c r="C12" s="181"/>
      <c r="D12" s="182"/>
    </row>
    <row r="13" spans="2:4" x14ac:dyDescent="0.3">
      <c r="B13" s="184"/>
      <c r="C13" s="181"/>
      <c r="D13" s="182"/>
    </row>
    <row r="14" spans="2:4" x14ac:dyDescent="0.3">
      <c r="B14" s="184"/>
      <c r="C14" s="181"/>
      <c r="D14" s="182"/>
    </row>
    <row r="15" spans="2:4" x14ac:dyDescent="0.3">
      <c r="B15" s="184"/>
      <c r="C15" s="181"/>
      <c r="D15" s="182"/>
    </row>
    <row r="16" spans="2:4" x14ac:dyDescent="0.3">
      <c r="B16" s="184"/>
      <c r="C16" s="181"/>
      <c r="D16" s="182"/>
    </row>
    <row r="17" spans="2:4" x14ac:dyDescent="0.3">
      <c r="B17" s="184"/>
      <c r="C17" s="181"/>
      <c r="D17" s="182"/>
    </row>
    <row r="18" spans="2:4" ht="15" thickBot="1" x14ac:dyDescent="0.35">
      <c r="B18" s="185"/>
      <c r="C18" s="186"/>
      <c r="D18" s="187"/>
    </row>
    <row r="19" spans="2:4" x14ac:dyDescent="0.3">
      <c r="B19" s="174"/>
      <c r="D19" s="1"/>
    </row>
    <row r="20" spans="2:4" x14ac:dyDescent="0.3">
      <c r="B20" s="174"/>
      <c r="D20" s="1"/>
    </row>
  </sheetData>
  <customSheetViews>
    <customSheetView guid="{A466747D-BC11-4359-8DB2-79FDF5927363}" topLeftCell="A4">
      <selection activeCell="D5" sqref="D5"/>
      <pageMargins left="0.7" right="0.7" top="0.75" bottom="0.75" header="0.3" footer="0.3"/>
    </customSheetView>
    <customSheetView guid="{076EF5BB-A6AA-4ACD-9CF4-82C37E85D83C}">
      <selection activeCell="C6" sqref="C6"/>
      <pageMargins left="0.7" right="0.7" top="0.75" bottom="0.75" header="0.3" footer="0.3"/>
    </customSheetView>
    <customSheetView guid="{6774CEDA-A5AA-4ECD-96FF-5AD648D47675}">
      <selection activeCell="D4" sqref="D4"/>
      <pageMargins left="0.7" right="0.7" top="0.75" bottom="0.75" header="0.3" footer="0.3"/>
    </customSheetView>
    <customSheetView guid="{519414D7-B194-4B83-AA2D-520F5FD85EC7}" topLeftCell="A4">
      <selection activeCell="D5" sqref="D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workbookViewId="0">
      <selection activeCell="B20" sqref="B20"/>
    </sheetView>
  </sheetViews>
  <sheetFormatPr baseColWidth="10" defaultColWidth="11.44140625" defaultRowHeight="14.4" x14ac:dyDescent="0.3"/>
  <sheetData>
    <row r="2" spans="1:6" x14ac:dyDescent="0.3">
      <c r="A2" t="s">
        <v>364</v>
      </c>
    </row>
    <row r="3" spans="1:6" x14ac:dyDescent="0.3">
      <c r="A3" t="s">
        <v>3</v>
      </c>
      <c r="E3" t="s">
        <v>365</v>
      </c>
    </row>
    <row r="4" spans="1:6" x14ac:dyDescent="0.3">
      <c r="A4" t="s">
        <v>3</v>
      </c>
    </row>
    <row r="5" spans="1:6" x14ac:dyDescent="0.3">
      <c r="A5" t="s">
        <v>366</v>
      </c>
      <c r="E5" t="s">
        <v>367</v>
      </c>
      <c r="F5" t="s">
        <v>3</v>
      </c>
    </row>
    <row r="6" spans="1:6" x14ac:dyDescent="0.3">
      <c r="A6" t="s">
        <v>368</v>
      </c>
      <c r="E6">
        <v>5</v>
      </c>
    </row>
    <row r="7" spans="1:6" x14ac:dyDescent="0.3">
      <c r="A7" t="s">
        <v>369</v>
      </c>
      <c r="E7">
        <v>24</v>
      </c>
    </row>
    <row r="8" spans="1:6" x14ac:dyDescent="0.3">
      <c r="A8" t="s">
        <v>370</v>
      </c>
      <c r="E8">
        <v>15</v>
      </c>
    </row>
    <row r="9" spans="1:6" x14ac:dyDescent="0.3">
      <c r="A9" t="s">
        <v>371</v>
      </c>
      <c r="E9" t="s">
        <v>367</v>
      </c>
      <c r="F9" t="s">
        <v>3</v>
      </c>
    </row>
    <row r="10" spans="1:6" x14ac:dyDescent="0.3">
      <c r="A10" t="s">
        <v>372</v>
      </c>
      <c r="E10">
        <v>18</v>
      </c>
    </row>
    <row r="11" spans="1:6" x14ac:dyDescent="0.3">
      <c r="A11" t="s">
        <v>373</v>
      </c>
      <c r="E11">
        <v>17</v>
      </c>
    </row>
    <row r="12" spans="1:6" x14ac:dyDescent="0.3">
      <c r="A12" t="s">
        <v>374</v>
      </c>
      <c r="E12">
        <v>17</v>
      </c>
    </row>
    <row r="13" spans="1:6" x14ac:dyDescent="0.3">
      <c r="A13" t="s">
        <v>375</v>
      </c>
      <c r="E13">
        <v>5</v>
      </c>
    </row>
    <row r="14" spans="1:6" x14ac:dyDescent="0.3">
      <c r="A14" t="s">
        <v>376</v>
      </c>
      <c r="E14">
        <v>17</v>
      </c>
    </row>
    <row r="15" spans="1:6" x14ac:dyDescent="0.3">
      <c r="A15" t="s">
        <v>377</v>
      </c>
      <c r="E15">
        <v>15</v>
      </c>
    </row>
    <row r="16" spans="1:6" x14ac:dyDescent="0.3">
      <c r="A16" t="s">
        <v>378</v>
      </c>
      <c r="E16">
        <v>17</v>
      </c>
    </row>
    <row r="17" spans="1:6" x14ac:dyDescent="0.3">
      <c r="A17" t="s">
        <v>379</v>
      </c>
      <c r="E17">
        <v>10</v>
      </c>
    </row>
    <row r="18" spans="1:6" x14ac:dyDescent="0.3">
      <c r="A18" t="s">
        <v>380</v>
      </c>
      <c r="E18">
        <v>20</v>
      </c>
    </row>
    <row r="19" spans="1:6" x14ac:dyDescent="0.3">
      <c r="A19" t="s">
        <v>381</v>
      </c>
      <c r="E19">
        <v>19</v>
      </c>
    </row>
    <row r="20" spans="1:6" x14ac:dyDescent="0.3">
      <c r="A20" t="s">
        <v>382</v>
      </c>
      <c r="E20">
        <v>15</v>
      </c>
    </row>
    <row r="21" spans="1:6" x14ac:dyDescent="0.3">
      <c r="A21" t="s">
        <v>383</v>
      </c>
      <c r="E21">
        <v>12</v>
      </c>
    </row>
    <row r="22" spans="1:6" x14ac:dyDescent="0.3">
      <c r="A22" t="s">
        <v>384</v>
      </c>
      <c r="E22">
        <v>3</v>
      </c>
    </row>
    <row r="23" spans="1:6" x14ac:dyDescent="0.3">
      <c r="A23" t="s">
        <v>385</v>
      </c>
      <c r="E23" t="s">
        <v>386</v>
      </c>
    </row>
    <row r="24" spans="1:6" x14ac:dyDescent="0.3">
      <c r="A24" t="s">
        <v>387</v>
      </c>
      <c r="E24">
        <v>15</v>
      </c>
    </row>
    <row r="25" spans="1:6" x14ac:dyDescent="0.3">
      <c r="A25" t="s">
        <v>388</v>
      </c>
      <c r="E25">
        <v>8</v>
      </c>
    </row>
    <row r="26" spans="1:6" x14ac:dyDescent="0.3">
      <c r="A26" t="s">
        <v>389</v>
      </c>
      <c r="E26">
        <v>23</v>
      </c>
    </row>
    <row r="27" spans="1:6" x14ac:dyDescent="0.3">
      <c r="A27" t="s">
        <v>390</v>
      </c>
      <c r="E27">
        <v>10</v>
      </c>
    </row>
    <row r="28" spans="1:6" x14ac:dyDescent="0.3">
      <c r="A28" t="s">
        <v>391</v>
      </c>
      <c r="E28">
        <v>2</v>
      </c>
    </row>
    <row r="29" spans="1:6" x14ac:dyDescent="0.3">
      <c r="A29" t="s">
        <v>392</v>
      </c>
      <c r="E29">
        <v>2</v>
      </c>
    </row>
    <row r="30" spans="1:6" x14ac:dyDescent="0.3">
      <c r="A30" t="s">
        <v>393</v>
      </c>
      <c r="E30">
        <v>2</v>
      </c>
    </row>
    <row r="31" spans="1:6" x14ac:dyDescent="0.3">
      <c r="A31" t="s">
        <v>394</v>
      </c>
      <c r="E31">
        <v>24</v>
      </c>
    </row>
    <row r="32" spans="1:6" x14ac:dyDescent="0.3">
      <c r="A32" t="s">
        <v>395</v>
      </c>
      <c r="E32" t="s">
        <v>367</v>
      </c>
      <c r="F32" t="s">
        <v>3</v>
      </c>
    </row>
    <row r="33" spans="1:6" x14ac:dyDescent="0.3">
      <c r="A33" t="s">
        <v>396</v>
      </c>
      <c r="E33">
        <v>17</v>
      </c>
    </row>
    <row r="34" spans="1:6" x14ac:dyDescent="0.3">
      <c r="A34" t="s">
        <v>397</v>
      </c>
      <c r="E34" t="s">
        <v>367</v>
      </c>
      <c r="F34" t="s">
        <v>3</v>
      </c>
    </row>
    <row r="35" spans="1:6" x14ac:dyDescent="0.3">
      <c r="A35" t="s">
        <v>398</v>
      </c>
      <c r="E35">
        <v>20</v>
      </c>
    </row>
    <row r="36" spans="1:6" x14ac:dyDescent="0.3">
      <c r="A36" t="s">
        <v>399</v>
      </c>
      <c r="E36">
        <v>17</v>
      </c>
    </row>
    <row r="37" spans="1:6" x14ac:dyDescent="0.3">
      <c r="A37" t="s">
        <v>400</v>
      </c>
      <c r="E37">
        <v>15</v>
      </c>
    </row>
    <row r="38" spans="1:6" x14ac:dyDescent="0.3">
      <c r="A38" t="s">
        <v>401</v>
      </c>
      <c r="E38">
        <v>8</v>
      </c>
    </row>
    <row r="39" spans="1:6" x14ac:dyDescent="0.3">
      <c r="A39" t="s">
        <v>402</v>
      </c>
      <c r="E39">
        <v>3</v>
      </c>
    </row>
    <row r="40" spans="1:6" x14ac:dyDescent="0.3">
      <c r="A40" t="s">
        <v>403</v>
      </c>
      <c r="E40">
        <v>8</v>
      </c>
    </row>
    <row r="41" spans="1:6" x14ac:dyDescent="0.3">
      <c r="A41" t="s">
        <v>404</v>
      </c>
      <c r="E41">
        <v>10</v>
      </c>
    </row>
    <row r="42" spans="1:6" x14ac:dyDescent="0.3">
      <c r="A42" t="s">
        <v>405</v>
      </c>
      <c r="E42">
        <v>12</v>
      </c>
    </row>
    <row r="43" spans="1:6" x14ac:dyDescent="0.3">
      <c r="A43" t="s">
        <v>406</v>
      </c>
      <c r="E43">
        <v>13</v>
      </c>
    </row>
    <row r="44" spans="1:6" x14ac:dyDescent="0.3">
      <c r="A44" t="s">
        <v>407</v>
      </c>
      <c r="E44">
        <v>2</v>
      </c>
    </row>
  </sheetData>
  <customSheetViews>
    <customSheetView guid="{A466747D-BC11-4359-8DB2-79FDF5927363}">
      <selection activeCell="B20" sqref="B20"/>
      <pageMargins left="0.7" right="0.7" top="0.75" bottom="0.75" header="0.3" footer="0.3"/>
    </customSheetView>
    <customSheetView guid="{076EF5BB-A6AA-4ACD-9CF4-82C37E85D83C}">
      <selection activeCell="B20" sqref="B20"/>
      <pageMargins left="0.7" right="0.7" top="0.75" bottom="0.75" header="0.3" footer="0.3"/>
    </customSheetView>
    <customSheetView guid="{6774CEDA-A5AA-4ECD-96FF-5AD648D47675}">
      <selection activeCell="B20" sqref="B20"/>
      <pageMargins left="0.7" right="0.7" top="0.75" bottom="0.75" header="0.3" footer="0.3"/>
    </customSheetView>
    <customSheetView guid="{519414D7-B194-4B83-AA2D-520F5FD85EC7}">
      <selection activeCell="B20" sqref="B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Info</vt:lpstr>
      <vt:lpstr>Economical Data</vt:lpstr>
      <vt:lpstr>Energy costs</vt:lpstr>
      <vt:lpstr>Calculation</vt:lpstr>
      <vt:lpstr>Results</vt:lpstr>
      <vt:lpstr>Compare Option </vt:lpstr>
      <vt:lpstr>Payback</vt:lpstr>
      <vt:lpstr>History</vt:lpstr>
      <vt:lpstr>Ref. Service Life CEN CWA 27</vt:lpstr>
      <vt:lpstr>Reference Service Life VDI 2067</vt:lpstr>
      <vt:lpstr>Feuil1</vt:lpstr>
      <vt:lpstr>Building_surface</vt:lpstr>
      <vt:lpstr>Calculation_Period</vt:lpstr>
      <vt:lpstr>demolition_1</vt:lpstr>
      <vt:lpstr>demolition_2</vt:lpstr>
      <vt:lpstr>Discount_rate</vt:lpstr>
      <vt:lpstr>Inflation_energy</vt:lpstr>
      <vt:lpstr>Inflation_human</vt:lpstr>
      <vt:lpstr>Inflation_products</vt:lpstr>
      <vt:lpstr>Inflation_rate</vt:lpstr>
      <vt:lpstr>Inflation_water</vt:lpstr>
      <vt:lpstr>Maintenance_products</vt:lpstr>
      <vt:lpstr>Maintenance_rate_for_products</vt:lpstr>
      <vt:lpstr>Period</vt:lpstr>
    </vt:vector>
  </TitlesOfParts>
  <Company>EDF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g38318</dc:creator>
  <cp:lastModifiedBy>ZIRNGIBL</cp:lastModifiedBy>
  <dcterms:created xsi:type="dcterms:W3CDTF">2011-10-25T23:18:43Z</dcterms:created>
  <dcterms:modified xsi:type="dcterms:W3CDTF">2015-03-17T12:27:49Z</dcterms:modified>
</cp:coreProperties>
</file>